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99192552\Google Drive\Michael vd Laan\Documents\Journal articles\Mt Kenya water footprint\Water SA submission\Revi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P80" i="1" s="1"/>
  <c r="D78" i="1"/>
  <c r="P78" i="1" s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P69" i="1"/>
  <c r="P68" i="1"/>
  <c r="O66" i="1"/>
  <c r="N66" i="1"/>
  <c r="M66" i="1"/>
  <c r="L66" i="1"/>
  <c r="K66" i="1"/>
  <c r="J66" i="1"/>
  <c r="I66" i="1"/>
  <c r="H66" i="1"/>
  <c r="G66" i="1"/>
  <c r="F66" i="1"/>
  <c r="E66" i="1"/>
  <c r="D66" i="1"/>
  <c r="P63" i="1"/>
  <c r="O62" i="1"/>
  <c r="O64" i="1" s="1"/>
  <c r="N62" i="1"/>
  <c r="N64" i="1" s="1"/>
  <c r="M62" i="1"/>
  <c r="M64" i="1" s="1"/>
  <c r="L62" i="1"/>
  <c r="L64" i="1" s="1"/>
  <c r="K62" i="1"/>
  <c r="K64" i="1" s="1"/>
  <c r="J62" i="1"/>
  <c r="J64" i="1" s="1"/>
  <c r="I62" i="1"/>
  <c r="I64" i="1" s="1"/>
  <c r="H62" i="1"/>
  <c r="H64" i="1" s="1"/>
  <c r="G62" i="1"/>
  <c r="G64" i="1" s="1"/>
  <c r="F62" i="1"/>
  <c r="F64" i="1" s="1"/>
  <c r="E62" i="1"/>
  <c r="E64" i="1" s="1"/>
  <c r="D62" i="1"/>
  <c r="D64" i="1" s="1"/>
  <c r="P61" i="1"/>
  <c r="O59" i="1"/>
  <c r="O60" i="1" s="1"/>
  <c r="O65" i="1" s="1"/>
  <c r="N59" i="1"/>
  <c r="N60" i="1" s="1"/>
  <c r="N65" i="1" s="1"/>
  <c r="M59" i="1"/>
  <c r="M60" i="1" s="1"/>
  <c r="M65" i="1" s="1"/>
  <c r="L59" i="1"/>
  <c r="L60" i="1" s="1"/>
  <c r="L65" i="1" s="1"/>
  <c r="K59" i="1"/>
  <c r="K60" i="1" s="1"/>
  <c r="K65" i="1" s="1"/>
  <c r="J59" i="1"/>
  <c r="J60" i="1" s="1"/>
  <c r="J65" i="1" s="1"/>
  <c r="I59" i="1"/>
  <c r="I60" i="1" s="1"/>
  <c r="I65" i="1" s="1"/>
  <c r="H59" i="1"/>
  <c r="H60" i="1" s="1"/>
  <c r="H65" i="1" s="1"/>
  <c r="G59" i="1"/>
  <c r="G60" i="1" s="1"/>
  <c r="G65" i="1" s="1"/>
  <c r="F59" i="1"/>
  <c r="F60" i="1" s="1"/>
  <c r="F65" i="1" s="1"/>
  <c r="E59" i="1"/>
  <c r="E60" i="1" s="1"/>
  <c r="E65" i="1" s="1"/>
  <c r="D59" i="1"/>
  <c r="D60" i="1" s="1"/>
  <c r="J58" i="1"/>
  <c r="P56" i="1"/>
  <c r="O55" i="1"/>
  <c r="O57" i="1" s="1"/>
  <c r="N55" i="1"/>
  <c r="N57" i="1" s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O49" i="1"/>
  <c r="O50" i="1" s="1"/>
  <c r="N49" i="1"/>
  <c r="N50" i="1" s="1"/>
  <c r="M49" i="1"/>
  <c r="L49" i="1"/>
  <c r="L58" i="1" s="1"/>
  <c r="K49" i="1"/>
  <c r="K50" i="1" s="1"/>
  <c r="J49" i="1"/>
  <c r="J50" i="1" s="1"/>
  <c r="I49" i="1"/>
  <c r="H49" i="1"/>
  <c r="H58" i="1" s="1"/>
  <c r="G49" i="1"/>
  <c r="G50" i="1" s="1"/>
  <c r="F49" i="1"/>
  <c r="F50" i="1" s="1"/>
  <c r="E49" i="1"/>
  <c r="D49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P44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L41" i="1"/>
  <c r="L47" i="1" s="1"/>
  <c r="O40" i="1"/>
  <c r="O41" i="1" s="1"/>
  <c r="O47" i="1" s="1"/>
  <c r="N40" i="1"/>
  <c r="N41" i="1" s="1"/>
  <c r="N47" i="1" s="1"/>
  <c r="M40" i="1"/>
  <c r="L40" i="1"/>
  <c r="L48" i="1" s="1"/>
  <c r="K40" i="1"/>
  <c r="K41" i="1" s="1"/>
  <c r="K47" i="1" s="1"/>
  <c r="J40" i="1"/>
  <c r="J41" i="1" s="1"/>
  <c r="J47" i="1" s="1"/>
  <c r="I40" i="1"/>
  <c r="H40" i="1"/>
  <c r="H48" i="1" s="1"/>
  <c r="G40" i="1"/>
  <c r="G41" i="1" s="1"/>
  <c r="G47" i="1" s="1"/>
  <c r="F40" i="1"/>
  <c r="F41" i="1" s="1"/>
  <c r="F47" i="1" s="1"/>
  <c r="E40" i="1"/>
  <c r="D40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1" i="1"/>
  <c r="N31" i="1"/>
  <c r="M31" i="1"/>
  <c r="L31" i="1"/>
  <c r="L32" i="1" s="1"/>
  <c r="K31" i="1"/>
  <c r="J31" i="1"/>
  <c r="I31" i="1"/>
  <c r="H31" i="1"/>
  <c r="G31" i="1"/>
  <c r="F31" i="1"/>
  <c r="E31" i="1"/>
  <c r="D31" i="1"/>
  <c r="B31" i="1"/>
  <c r="O37" i="1" s="1"/>
  <c r="P28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O23" i="1"/>
  <c r="N23" i="1"/>
  <c r="M23" i="1"/>
  <c r="L23" i="1"/>
  <c r="K23" i="1"/>
  <c r="J23" i="1"/>
  <c r="I23" i="1"/>
  <c r="H23" i="1"/>
  <c r="G23" i="1"/>
  <c r="F23" i="1"/>
  <c r="E23" i="1"/>
  <c r="D23" i="1"/>
  <c r="O19" i="1"/>
  <c r="N19" i="1"/>
  <c r="M19" i="1"/>
  <c r="L19" i="1"/>
  <c r="K19" i="1"/>
  <c r="J19" i="1"/>
  <c r="I19" i="1"/>
  <c r="H19" i="1"/>
  <c r="G19" i="1"/>
  <c r="F19" i="1"/>
  <c r="E19" i="1"/>
  <c r="D19" i="1"/>
  <c r="O15" i="1"/>
  <c r="N15" i="1"/>
  <c r="M15" i="1"/>
  <c r="L15" i="1"/>
  <c r="K15" i="1"/>
  <c r="J15" i="1"/>
  <c r="I15" i="1"/>
  <c r="I16" i="1" s="1"/>
  <c r="I18" i="1" s="1"/>
  <c r="H15" i="1"/>
  <c r="G15" i="1"/>
  <c r="F15" i="1"/>
  <c r="E15" i="1"/>
  <c r="D15" i="1"/>
  <c r="D11" i="1"/>
  <c r="B17" i="1" s="1"/>
  <c r="P8" i="1"/>
  <c r="P7" i="1"/>
  <c r="P6" i="1"/>
  <c r="P5" i="1"/>
  <c r="P4" i="1"/>
  <c r="P3" i="1"/>
  <c r="H50" i="1" l="1"/>
  <c r="H41" i="1"/>
  <c r="H47" i="1" s="1"/>
  <c r="F48" i="1"/>
  <c r="N48" i="1"/>
  <c r="F58" i="1"/>
  <c r="E16" i="1"/>
  <c r="E18" i="1" s="1"/>
  <c r="M16" i="1"/>
  <c r="M18" i="1" s="1"/>
  <c r="J16" i="1"/>
  <c r="J17" i="1" s="1"/>
  <c r="G32" i="1"/>
  <c r="G39" i="1" s="1"/>
  <c r="L37" i="1"/>
  <c r="G16" i="1"/>
  <c r="K16" i="1"/>
  <c r="K18" i="1" s="1"/>
  <c r="O16" i="1"/>
  <c r="O18" i="1" s="1"/>
  <c r="F27" i="1"/>
  <c r="N27" i="1"/>
  <c r="P31" i="1"/>
  <c r="D32" i="1"/>
  <c r="P34" i="1"/>
  <c r="P49" i="1"/>
  <c r="D50" i="1"/>
  <c r="F16" i="1"/>
  <c r="F17" i="1" s="1"/>
  <c r="N16" i="1"/>
  <c r="K32" i="1"/>
  <c r="K39" i="1" s="1"/>
  <c r="O32" i="1"/>
  <c r="D16" i="1"/>
  <c r="H16" i="1"/>
  <c r="L16" i="1"/>
  <c r="P19" i="1"/>
  <c r="I27" i="1"/>
  <c r="I30" i="1" s="1"/>
  <c r="E32" i="1"/>
  <c r="I32" i="1"/>
  <c r="M32" i="1"/>
  <c r="M38" i="1" s="1"/>
  <c r="H32" i="1"/>
  <c r="H39" i="1" s="1"/>
  <c r="D37" i="1"/>
  <c r="F32" i="1"/>
  <c r="J32" i="1"/>
  <c r="J38" i="1" s="1"/>
  <c r="N32" i="1"/>
  <c r="N38" i="1" s="1"/>
  <c r="H37" i="1"/>
  <c r="P40" i="1"/>
  <c r="D41" i="1"/>
  <c r="D47" i="1" s="1"/>
  <c r="P43" i="1"/>
  <c r="J48" i="1"/>
  <c r="L50" i="1"/>
  <c r="N58" i="1"/>
  <c r="P72" i="1"/>
  <c r="N17" i="1"/>
  <c r="N18" i="1"/>
  <c r="K17" i="1"/>
  <c r="O17" i="1"/>
  <c r="F30" i="1"/>
  <c r="F29" i="1"/>
  <c r="N30" i="1"/>
  <c r="N29" i="1"/>
  <c r="J18" i="1"/>
  <c r="G18" i="1"/>
  <c r="G17" i="1"/>
  <c r="D18" i="1"/>
  <c r="H18" i="1"/>
  <c r="H17" i="1"/>
  <c r="L18" i="1"/>
  <c r="L17" i="1"/>
  <c r="G27" i="1"/>
  <c r="O27" i="1"/>
  <c r="B72" i="1"/>
  <c r="N73" i="1" s="1"/>
  <c r="N74" i="1" s="1"/>
  <c r="B66" i="1"/>
  <c r="O67" i="1" s="1"/>
  <c r="H27" i="1"/>
  <c r="M27" i="1"/>
  <c r="E39" i="1"/>
  <c r="E38" i="1"/>
  <c r="M39" i="1"/>
  <c r="I48" i="1"/>
  <c r="I41" i="1"/>
  <c r="I47" i="1" s="1"/>
  <c r="D65" i="1"/>
  <c r="P65" i="1" s="1"/>
  <c r="P60" i="1"/>
  <c r="P15" i="1"/>
  <c r="E17" i="1"/>
  <c r="I17" i="1"/>
  <c r="M17" i="1"/>
  <c r="B23" i="1"/>
  <c r="G24" i="1" s="1"/>
  <c r="G25" i="1" s="1"/>
  <c r="L39" i="1"/>
  <c r="L38" i="1"/>
  <c r="G38" i="1"/>
  <c r="E58" i="1"/>
  <c r="E50" i="1"/>
  <c r="I58" i="1"/>
  <c r="I50" i="1"/>
  <c r="M58" i="1"/>
  <c r="M50" i="1"/>
  <c r="P55" i="1"/>
  <c r="P64" i="1"/>
  <c r="H67" i="1"/>
  <c r="M73" i="1"/>
  <c r="M74" i="1" s="1"/>
  <c r="K27" i="1"/>
  <c r="J27" i="1"/>
  <c r="F67" i="1"/>
  <c r="E20" i="1"/>
  <c r="D27" i="1"/>
  <c r="L27" i="1"/>
  <c r="E27" i="1"/>
  <c r="I39" i="1"/>
  <c r="I38" i="1"/>
  <c r="H38" i="1"/>
  <c r="E48" i="1"/>
  <c r="E41" i="1"/>
  <c r="E47" i="1" s="1"/>
  <c r="M48" i="1"/>
  <c r="M41" i="1"/>
  <c r="M47" i="1" s="1"/>
  <c r="P53" i="1"/>
  <c r="B19" i="1"/>
  <c r="K20" i="1" s="1"/>
  <c r="H24" i="1"/>
  <c r="H25" i="1" s="1"/>
  <c r="K38" i="1"/>
  <c r="M67" i="1"/>
  <c r="P23" i="1"/>
  <c r="P26" i="1"/>
  <c r="E37" i="1"/>
  <c r="I37" i="1"/>
  <c r="M37" i="1"/>
  <c r="G48" i="1"/>
  <c r="K48" i="1"/>
  <c r="O48" i="1"/>
  <c r="D57" i="1"/>
  <c r="P57" i="1" s="1"/>
  <c r="G58" i="1"/>
  <c r="K58" i="1"/>
  <c r="O58" i="1"/>
  <c r="F37" i="1"/>
  <c r="J37" i="1"/>
  <c r="N37" i="1"/>
  <c r="D48" i="1"/>
  <c r="D58" i="1"/>
  <c r="G37" i="1"/>
  <c r="K37" i="1"/>
  <c r="P47" i="1" l="1"/>
  <c r="J39" i="1"/>
  <c r="P16" i="1"/>
  <c r="P32" i="1"/>
  <c r="N39" i="1"/>
  <c r="D24" i="1"/>
  <c r="I73" i="1"/>
  <c r="I74" i="1" s="1"/>
  <c r="D38" i="1"/>
  <c r="I29" i="1"/>
  <c r="D17" i="1"/>
  <c r="O39" i="1"/>
  <c r="O38" i="1"/>
  <c r="D39" i="1"/>
  <c r="F18" i="1"/>
  <c r="F38" i="1"/>
  <c r="F39" i="1"/>
  <c r="P39" i="1" s="1"/>
  <c r="P58" i="1"/>
  <c r="M20" i="1"/>
  <c r="M21" i="1" s="1"/>
  <c r="H20" i="1"/>
  <c r="H21" i="1" s="1"/>
  <c r="M22" i="1"/>
  <c r="M30" i="1"/>
  <c r="M29" i="1"/>
  <c r="J67" i="1"/>
  <c r="J70" i="1" s="1"/>
  <c r="I67" i="1"/>
  <c r="I70" i="1" s="1"/>
  <c r="D25" i="1"/>
  <c r="E21" i="1"/>
  <c r="E22" i="1"/>
  <c r="D67" i="1"/>
  <c r="M24" i="1"/>
  <c r="M25" i="1" s="1"/>
  <c r="E24" i="1"/>
  <c r="E25" i="1" s="1"/>
  <c r="I24" i="1"/>
  <c r="I25" i="1" s="1"/>
  <c r="F24" i="1"/>
  <c r="F25" i="1" s="1"/>
  <c r="N24" i="1"/>
  <c r="N25" i="1" s="1"/>
  <c r="H30" i="1"/>
  <c r="H29" i="1"/>
  <c r="L73" i="1"/>
  <c r="L74" i="1" s="1"/>
  <c r="H73" i="1"/>
  <c r="H74" i="1" s="1"/>
  <c r="D73" i="1"/>
  <c r="P37" i="1"/>
  <c r="J73" i="1"/>
  <c r="J74" i="1" s="1"/>
  <c r="E67" i="1"/>
  <c r="E70" i="1" s="1"/>
  <c r="J20" i="1"/>
  <c r="N20" i="1"/>
  <c r="O20" i="1"/>
  <c r="L30" i="1"/>
  <c r="L29" i="1"/>
  <c r="K73" i="1"/>
  <c r="K74" i="1" s="1"/>
  <c r="J30" i="1"/>
  <c r="J29" i="1"/>
  <c r="E73" i="1"/>
  <c r="E74" i="1" s="1"/>
  <c r="O24" i="1"/>
  <c r="O25" i="1" s="1"/>
  <c r="D20" i="1"/>
  <c r="O73" i="1"/>
  <c r="O74" i="1" s="1"/>
  <c r="P17" i="1"/>
  <c r="J24" i="1"/>
  <c r="J25" i="1" s="1"/>
  <c r="G20" i="1"/>
  <c r="P50" i="1"/>
  <c r="O70" i="1"/>
  <c r="F70" i="1"/>
  <c r="M70" i="1"/>
  <c r="H70" i="1"/>
  <c r="D70" i="1"/>
  <c r="G29" i="1"/>
  <c r="G30" i="1"/>
  <c r="P48" i="1"/>
  <c r="E30" i="1"/>
  <c r="E29" i="1"/>
  <c r="P18" i="1"/>
  <c r="K22" i="1"/>
  <c r="K21" i="1"/>
  <c r="F73" i="1"/>
  <c r="F74" i="1" s="1"/>
  <c r="P41" i="1"/>
  <c r="L24" i="1"/>
  <c r="L25" i="1" s="1"/>
  <c r="K67" i="1"/>
  <c r="K70" i="1" s="1"/>
  <c r="P27" i="1"/>
  <c r="D30" i="1"/>
  <c r="D29" i="1"/>
  <c r="N67" i="1"/>
  <c r="N70" i="1" s="1"/>
  <c r="K29" i="1"/>
  <c r="K30" i="1"/>
  <c r="L67" i="1"/>
  <c r="L70" i="1" s="1"/>
  <c r="K24" i="1"/>
  <c r="K25" i="1" s="1"/>
  <c r="G67" i="1"/>
  <c r="G70" i="1" s="1"/>
  <c r="I20" i="1"/>
  <c r="G73" i="1"/>
  <c r="G74" i="1" s="1"/>
  <c r="O29" i="1"/>
  <c r="O30" i="1"/>
  <c r="L20" i="1"/>
  <c r="F20" i="1"/>
  <c r="P38" i="1" l="1"/>
  <c r="H22" i="1"/>
  <c r="P29" i="1"/>
  <c r="P70" i="1"/>
  <c r="D74" i="1"/>
  <c r="P74" i="1" s="1"/>
  <c r="P73" i="1"/>
  <c r="I22" i="1"/>
  <c r="I21" i="1"/>
  <c r="P30" i="1"/>
  <c r="G22" i="1"/>
  <c r="G21" i="1"/>
  <c r="P25" i="1"/>
  <c r="N21" i="1"/>
  <c r="N22" i="1"/>
  <c r="F22" i="1"/>
  <c r="F21" i="1"/>
  <c r="J21" i="1"/>
  <c r="J22" i="1"/>
  <c r="L21" i="1"/>
  <c r="L22" i="1"/>
  <c r="D21" i="1"/>
  <c r="P20" i="1"/>
  <c r="D22" i="1"/>
  <c r="O22" i="1"/>
  <c r="O21" i="1"/>
  <c r="P67" i="1"/>
  <c r="P24" i="1"/>
  <c r="P21" i="1" l="1"/>
  <c r="P22" i="1"/>
</calcChain>
</file>

<file path=xl/sharedStrings.xml><?xml version="1.0" encoding="utf-8"?>
<sst xmlns="http://schemas.openxmlformats.org/spreadsheetml/2006/main" count="140" uniqueCount="77">
  <si>
    <t xml:space="preserve">Rainfall station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</si>
  <si>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</si>
  <si>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</si>
  <si>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</si>
  <si>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</si>
  <si>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</si>
  <si>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</si>
  <si>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</si>
  <si>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</si>
  <si>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</si>
  <si>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</si>
  <si>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</si>
  <si>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</si>
  <si>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</si>
  <si>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Naromoru</t>
  </si>
  <si>
    <t>Matanya</t>
  </si>
  <si>
    <t>Nanyuki Forest</t>
  </si>
  <si>
    <t>Munyaka</t>
  </si>
  <si>
    <t>Kalalu</t>
  </si>
  <si>
    <t>Rainfall</t>
  </si>
  <si>
    <t>Ave/y (mm)</t>
  </si>
  <si>
    <t>Area (km2)</t>
  </si>
  <si>
    <t>Area (ha)</t>
  </si>
  <si>
    <t>Upper Ewaso Ngiro</t>
  </si>
  <si>
    <t>Component</t>
  </si>
  <si>
    <t xml:space="preserve">Jan </t>
  </si>
  <si>
    <t xml:space="preserve">Feb </t>
  </si>
  <si>
    <t>Sub-total</t>
  </si>
  <si>
    <t>Forest</t>
  </si>
  <si>
    <t>Rainfall (mm)</t>
  </si>
  <si>
    <t>Rainfall (Mm3)</t>
  </si>
  <si>
    <t>Weather: Naromoru/Kalalu/Nanyuki</t>
  </si>
  <si>
    <t>Woody grassland</t>
  </si>
  <si>
    <t>Weather: Matanya</t>
  </si>
  <si>
    <t>Grassland</t>
  </si>
  <si>
    <t>Green water use = rainfall</t>
  </si>
  <si>
    <t>Rainfed cropland</t>
  </si>
  <si>
    <t>Weather: Kalalu</t>
  </si>
  <si>
    <t>ET_o</t>
  </si>
  <si>
    <t>Commercial irrigated</t>
  </si>
  <si>
    <t>According to CROPWAT</t>
  </si>
  <si>
    <t>ET_o (mm/month)</t>
  </si>
  <si>
    <t>Runoff fraction = 30%</t>
  </si>
  <si>
    <t>ET_o (Mm3/month)</t>
  </si>
  <si>
    <t>Kc</t>
  </si>
  <si>
    <t>Cropwat irrig requirement (mm)</t>
  </si>
  <si>
    <t>Blue water (Mm3)</t>
  </si>
  <si>
    <t>Small scale irrigated</t>
  </si>
  <si>
    <t>Kc = 0.8</t>
  </si>
  <si>
    <t>Runoff fraction = 20%</t>
  </si>
  <si>
    <t>Intensive hort (Greenhouses)</t>
  </si>
  <si>
    <t>10% of rain lost to evap, rest harvested</t>
  </si>
  <si>
    <t>Some deep drainage will occur</t>
  </si>
  <si>
    <t>Eta (mm/year)</t>
  </si>
  <si>
    <t>Inside GH factor</t>
  </si>
  <si>
    <t>Blue water</t>
  </si>
  <si>
    <t>Horticultural dams</t>
  </si>
  <si>
    <t>Rainfall Mm3/month)</t>
  </si>
  <si>
    <t>Surface water</t>
  </si>
  <si>
    <t>Bulit up area</t>
  </si>
  <si>
    <t>Evap = 20%, rest blue</t>
  </si>
  <si>
    <t>Bluewater avail (Mm3)</t>
  </si>
  <si>
    <t>Human water consumption</t>
  </si>
  <si>
    <t>m3/day</t>
  </si>
  <si>
    <t>Livestock + wildlife water consumption</t>
  </si>
  <si>
    <t>Green water use (Mm3)</t>
  </si>
  <si>
    <t>Blue water avail (Mm3)</t>
  </si>
  <si>
    <t>Green water (Mm3)</t>
  </si>
  <si>
    <t>Blue water evap (Mm3)</t>
  </si>
  <si>
    <t>CONSUMPTION/AVAIL (Mm3)</t>
  </si>
  <si>
    <t>Land use/Acitivity</t>
  </si>
  <si>
    <t>ETa = 0.65*ETo</t>
  </si>
  <si>
    <t xml:space="preserve">Archers Post </t>
  </si>
  <si>
    <t>Runoff fraction = 10%</t>
  </si>
  <si>
    <t>70% ET, 30% runoff fraction</t>
  </si>
  <si>
    <t xml:space="preserve">Weather: Archers Post </t>
  </si>
  <si>
    <t>Month #days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</si>
</sst>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9" borderId="0" xfId="0" applyFill="1" applyBorder="1"/>
    <xf numFmtId="0" fontId="1" fillId="10" borderId="0" xfId="0" applyFont="1" applyFill="1" applyBorder="1"/>
    <xf numFmtId="0" fontId="0" fillId="10" borderId="0" xfId="0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1" fillId="0" borderId="0" xfId="0" applyFont="1" applyBorder="1" applyAlignment="1">
      <alignment horizontal="center"/>
    </xf>
    <xf numFmtId="1" fontId="2" fillId="0" borderId="0" xfId="0" applyNumberFormat="1" applyFont="1" applyBorder="1"/>
    <xf numFmtId="1" fontId="0" fillId="2" borderId="0" xfId="0" applyNumberFormat="1" applyFill="1" applyBorder="1"/>
    <xf numFmtId="0" fontId="0" fillId="2" borderId="0" xfId="0" applyFill="1" applyBorder="1"/>
    <xf numFmtId="0" fontId="2" fillId="0" borderId="0" xfId="0" applyFont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0" fontId="1" fillId="5" borderId="0" xfId="0" applyFont="1" applyFill="1" applyBorder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1" fontId="0" fillId="5" borderId="0" xfId="0" applyNumberFormat="1" applyFill="1" applyBorder="1"/>
    <xf numFmtId="1" fontId="1" fillId="5" borderId="0" xfId="0" applyNumberFormat="1" applyFont="1" applyFill="1" applyBorder="1"/>
    <xf numFmtId="0" fontId="3" fillId="5" borderId="0" xfId="0" applyFont="1" applyFill="1" applyBorder="1"/>
    <xf numFmtId="1" fontId="2" fillId="5" borderId="0" xfId="0" applyNumberFormat="1" applyFont="1" applyFill="1" applyBorder="1"/>
    <xf numFmtId="1" fontId="4" fillId="5" borderId="0" xfId="0" applyNumberFormat="1" applyFont="1" applyFill="1" applyBorder="1"/>
    <xf numFmtId="0" fontId="2" fillId="5" borderId="0" xfId="0" applyFont="1" applyFill="1" applyBorder="1"/>
    <xf numFmtId="1" fontId="5" fillId="5" borderId="0" xfId="0" applyNumberFormat="1" applyFont="1" applyFill="1" applyBorder="1"/>
    <xf numFmtId="0" fontId="1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" fontId="0" fillId="6" borderId="0" xfId="0" applyNumberFormat="1" applyFill="1" applyBorder="1"/>
    <xf numFmtId="1" fontId="1" fillId="6" borderId="0" xfId="0" applyNumberFormat="1" applyFont="1" applyFill="1" applyBorder="1"/>
    <xf numFmtId="0" fontId="3" fillId="6" borderId="0" xfId="0" applyFont="1" applyFill="1" applyBorder="1"/>
    <xf numFmtId="0" fontId="2" fillId="6" borderId="0" xfId="0" applyFont="1" applyFill="1" applyBorder="1"/>
    <xf numFmtId="0" fontId="6" fillId="6" borderId="0" xfId="0" applyFont="1" applyFill="1" applyBorder="1"/>
    <xf numFmtId="1" fontId="4" fillId="6" borderId="0" xfId="0" applyNumberFormat="1" applyFont="1" applyFill="1" applyBorder="1"/>
    <xf numFmtId="1" fontId="2" fillId="6" borderId="0" xfId="0" applyNumberFormat="1" applyFont="1" applyFill="1" applyBorder="1"/>
    <xf numFmtId="1" fontId="5" fillId="6" borderId="0" xfId="0" applyNumberFormat="1" applyFont="1" applyFill="1" applyBorder="1"/>
    <xf numFmtId="0" fontId="1" fillId="7" borderId="0" xfId="0" applyFont="1" applyFill="1" applyBorder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1" fontId="0" fillId="7" borderId="0" xfId="0" applyNumberFormat="1" applyFill="1" applyBorder="1"/>
    <xf numFmtId="1" fontId="1" fillId="7" borderId="0" xfId="0" applyNumberFormat="1" applyFont="1" applyFill="1" applyBorder="1"/>
    <xf numFmtId="0" fontId="3" fillId="7" borderId="0" xfId="0" applyFont="1" applyFill="1" applyBorder="1"/>
    <xf numFmtId="1" fontId="2" fillId="7" borderId="0" xfId="0" applyNumberFormat="1" applyFont="1" applyFill="1" applyBorder="1"/>
    <xf numFmtId="0" fontId="6" fillId="7" borderId="0" xfId="0" applyFont="1" applyFill="1" applyBorder="1"/>
    <xf numFmtId="1" fontId="4" fillId="7" borderId="0" xfId="0" applyNumberFormat="1" applyFont="1" applyFill="1" applyBorder="1"/>
    <xf numFmtId="0" fontId="1" fillId="8" borderId="0" xfId="0" applyFont="1" applyFill="1" applyBorder="1"/>
    <xf numFmtId="0" fontId="0" fillId="8" borderId="0" xfId="0" applyFill="1" applyBorder="1" applyAlignment="1">
      <alignment horizontal="center"/>
    </xf>
    <xf numFmtId="0" fontId="0" fillId="8" borderId="0" xfId="0" applyFill="1" applyBorder="1"/>
    <xf numFmtId="1" fontId="0" fillId="8" borderId="0" xfId="0" applyNumberFormat="1" applyFill="1" applyBorder="1"/>
    <xf numFmtId="1" fontId="1" fillId="8" borderId="0" xfId="0" applyNumberFormat="1" applyFont="1" applyFill="1" applyBorder="1"/>
    <xf numFmtId="0" fontId="3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6" fillId="8" borderId="0" xfId="0" applyFont="1" applyFill="1" applyBorder="1"/>
    <xf numFmtId="1" fontId="7" fillId="8" borderId="0" xfId="0" applyNumberFormat="1" applyFont="1" applyFill="1" applyBorder="1"/>
    <xf numFmtId="0" fontId="2" fillId="8" borderId="0" xfId="0" applyFont="1" applyFill="1" applyBorder="1"/>
    <xf numFmtId="1" fontId="5" fillId="8" borderId="0" xfId="0" applyNumberFormat="1" applyFont="1" applyFill="1" applyBorder="1"/>
    <xf numFmtId="0" fontId="1" fillId="9" borderId="0" xfId="0" applyFont="1" applyFill="1" applyBorder="1"/>
    <xf numFmtId="1" fontId="1" fillId="9" borderId="0" xfId="0" applyNumberFormat="1" applyFont="1" applyFill="1" applyBorder="1"/>
    <xf numFmtId="1" fontId="8" fillId="9" borderId="0" xfId="0" applyNumberFormat="1" applyFont="1" applyFill="1" applyBorder="1"/>
    <xf numFmtId="0" fontId="0" fillId="10" borderId="0" xfId="0" applyFill="1" applyBorder="1" applyAlignment="1">
      <alignment horizontal="center"/>
    </xf>
    <xf numFmtId="1" fontId="0" fillId="10" borderId="0" xfId="0" applyNumberFormat="1" applyFill="1" applyBorder="1"/>
    <xf numFmtId="1" fontId="1" fillId="10" borderId="0" xfId="0" applyNumberFormat="1" applyFont="1" applyFill="1" applyBorder="1"/>
    <xf numFmtId="164" fontId="0" fillId="10" borderId="0" xfId="0" applyNumberFormat="1" applyFill="1" applyBorder="1"/>
    <xf numFmtId="164" fontId="1" fillId="10" borderId="0" xfId="0" applyNumberFormat="1" applyFont="1" applyFill="1" applyBorder="1"/>
    <xf numFmtId="0" fontId="3" fillId="10" borderId="0" xfId="0" applyFont="1" applyFill="1" applyBorder="1"/>
    <xf numFmtId="0" fontId="9" fillId="10" borderId="0" xfId="0" applyFont="1" applyFill="1" applyBorder="1"/>
    <xf numFmtId="2" fontId="2" fillId="10" borderId="0" xfId="0" applyNumberFormat="1" applyFont="1" applyFill="1" applyBorder="1"/>
    <xf numFmtId="2" fontId="5" fillId="10" borderId="0" xfId="0" applyNumberFormat="1" applyFont="1" applyFill="1" applyBorder="1"/>
    <xf numFmtId="0" fontId="1" fillId="12" borderId="0" xfId="0" applyFont="1" applyFill="1" applyBorder="1"/>
    <xf numFmtId="0" fontId="0" fillId="12" borderId="0" xfId="0" applyFill="1" applyBorder="1"/>
    <xf numFmtId="0" fontId="6" fillId="12" borderId="0" xfId="0" applyFont="1" applyFill="1" applyBorder="1"/>
    <xf numFmtId="164" fontId="0" fillId="12" borderId="0" xfId="0" applyNumberFormat="1" applyFill="1" applyBorder="1"/>
    <xf numFmtId="1" fontId="1" fillId="12" borderId="0" xfId="0" applyNumberFormat="1" applyFont="1" applyFill="1" applyBorder="1"/>
    <xf numFmtId="1" fontId="0" fillId="12" borderId="0" xfId="0" applyNumberFormat="1" applyFill="1" applyBorder="1"/>
    <xf numFmtId="0" fontId="0" fillId="12" borderId="0" xfId="0" applyFill="1" applyBorder="1" applyAlignment="1">
      <alignment horizontal="center"/>
    </xf>
    <xf numFmtId="1" fontId="8" fillId="12" borderId="0" xfId="0" applyNumberFormat="1" applyFont="1" applyFill="1" applyBorder="1"/>
    <xf numFmtId="0" fontId="2" fillId="12" borderId="0" xfId="0" applyFont="1" applyFill="1" applyBorder="1"/>
    <xf numFmtId="0" fontId="1" fillId="2" borderId="0" xfId="0" applyFont="1" applyFill="1" applyBorder="1"/>
    <xf numFmtId="0" fontId="6" fillId="2" borderId="0" xfId="0" applyFont="1" applyFill="1" applyBorder="1"/>
    <xf numFmtId="164" fontId="0" fillId="2" borderId="0" xfId="0" applyNumberFormat="1" applyFill="1" applyBorder="1"/>
    <xf numFmtId="1" fontId="1" fillId="2" borderId="0" xfId="0" applyNumberFormat="1" applyFont="1" applyFill="1" applyBorder="1"/>
    <xf numFmtId="1" fontId="8" fillId="2" borderId="0" xfId="0" applyNumberFormat="1" applyFont="1" applyFill="1" applyBorder="1"/>
    <xf numFmtId="0" fontId="2" fillId="2" borderId="0" xfId="0" applyFont="1" applyFill="1" applyBorder="1"/>
    <xf numFmtId="1" fontId="5" fillId="2" borderId="0" xfId="0" applyNumberFormat="1" applyFont="1" applyFill="1" applyBorder="1"/>
    <xf numFmtId="2" fontId="0" fillId="9" borderId="0" xfId="0" applyNumberFormat="1" applyFill="1" applyBorder="1" applyAlignment="1">
      <alignment horizontal="right" vertical="center"/>
    </xf>
    <xf numFmtId="0" fontId="0" fillId="9" borderId="0" xfId="0" applyFill="1" applyBorder="1" applyAlignment="1">
      <alignment horizontal="right" vertical="center"/>
    </xf>
    <xf numFmtId="2" fontId="0" fillId="11" borderId="0" xfId="0" applyNumberFormat="1" applyFill="1" applyBorder="1" applyAlignment="1">
      <alignment horizontal="right" vertical="center"/>
    </xf>
    <xf numFmtId="0" fontId="3" fillId="2" borderId="0" xfId="0" applyFont="1" applyFill="1" applyBorder="1"/>
    <xf numFmtId="1" fontId="4" fillId="2" borderId="0" xfId="0" applyNumberFormat="1" applyFont="1" applyFill="1" applyBorder="1"/>
    <xf numFmtId="1" fontId="2" fillId="2" borderId="0" xfId="0" applyNumberFormat="1" applyFont="1" applyFill="1" applyBorder="1"/>
    <xf numFmtId="0" fontId="1" fillId="13" borderId="0" xfId="0" applyFont="1" applyFill="1" applyBorder="1"/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" fontId="0" fillId="13" borderId="0" xfId="0" applyNumberFormat="1" applyFill="1" applyBorder="1"/>
    <xf numFmtId="1" fontId="1" fillId="13" borderId="0" xfId="0" applyNumberFormat="1" applyFont="1" applyFill="1" applyBorder="1"/>
    <xf numFmtId="164" fontId="0" fillId="13" borderId="0" xfId="0" applyNumberFormat="1" applyFill="1" applyBorder="1"/>
    <xf numFmtId="1" fontId="8" fillId="13" borderId="0" xfId="0" applyNumberFormat="1" applyFont="1" applyFill="1" applyBorder="1"/>
    <xf numFmtId="0" fontId="6" fillId="13" borderId="0" xfId="0" applyFont="1" applyFill="1" applyBorder="1"/>
    <xf numFmtId="0" fontId="2" fillId="13" borderId="0" xfId="0" applyFont="1" applyFill="1" applyBorder="1"/>
    <xf numFmtId="1" fontId="5" fillId="13" borderId="0" xfId="0" applyNumberFormat="1" applyFont="1" applyFill="1" applyBorder="1"/>
    <xf numFmtId="0" fontId="1" fillId="14" borderId="0" xfId="0" applyFont="1" applyFill="1" applyBorder="1"/>
    <xf numFmtId="0" fontId="0" fillId="14" borderId="0" xfId="0" applyFill="1" applyBorder="1" applyAlignment="1">
      <alignment horizontal="center"/>
    </xf>
    <xf numFmtId="0" fontId="0" fillId="14" borderId="0" xfId="0" applyFill="1" applyBorder="1"/>
    <xf numFmtId="1" fontId="0" fillId="14" borderId="0" xfId="0" applyNumberFormat="1" applyFill="1" applyBorder="1"/>
    <xf numFmtId="1" fontId="1" fillId="14" borderId="0" xfId="0" applyNumberFormat="1" applyFont="1" applyFill="1" applyBorder="1"/>
    <xf numFmtId="164" fontId="0" fillId="14" borderId="0" xfId="0" applyNumberFormat="1" applyFill="1" applyBorder="1"/>
    <xf numFmtId="0" fontId="2" fillId="14" borderId="0" xfId="0" applyFont="1" applyFill="1" applyBorder="1"/>
    <xf numFmtId="1" fontId="5" fillId="14" borderId="0" xfId="0" applyNumberFormat="1" applyFont="1" applyFill="1" applyBorder="1"/>
    <xf numFmtId="0" fontId="3" fillId="12" borderId="0" xfId="0" applyFont="1" applyFill="1" applyBorder="1"/>
    <xf numFmtId="1" fontId="4" fillId="12" borderId="0" xfId="0" applyNumberFormat="1" applyFont="1" applyFill="1" applyBorder="1"/>
    <xf numFmtId="1" fontId="2" fillId="12" borderId="0" xfId="0" applyNumberFormat="1" applyFont="1" applyFill="1" applyBorder="1"/>
    <xf numFmtId="1" fontId="5" fillId="12" borderId="0" xfId="0" applyNumberFormat="1" applyFont="1" applyFill="1" applyBorder="1"/>
    <xf numFmtId="0" fontId="1" fillId="15" borderId="0" xfId="0" applyFont="1" applyFill="1" applyBorder="1"/>
    <xf numFmtId="0" fontId="0" fillId="15" borderId="0" xfId="0" applyFill="1" applyBorder="1" applyAlignment="1">
      <alignment horizontal="center"/>
    </xf>
    <xf numFmtId="0" fontId="0" fillId="15" borderId="0" xfId="0" applyFill="1" applyBorder="1"/>
    <xf numFmtId="1" fontId="0" fillId="15" borderId="0" xfId="0" applyNumberFormat="1" applyFill="1" applyBorder="1"/>
    <xf numFmtId="1" fontId="1" fillId="15" borderId="0" xfId="0" applyNumberFormat="1" applyFont="1" applyFill="1" applyBorder="1"/>
    <xf numFmtId="164" fontId="0" fillId="15" borderId="0" xfId="0" applyNumberFormat="1" applyFill="1" applyBorder="1"/>
    <xf numFmtId="2" fontId="2" fillId="15" borderId="0" xfId="0" applyNumberFormat="1" applyFont="1" applyFill="1" applyBorder="1"/>
    <xf numFmtId="2" fontId="5" fillId="15" borderId="0" xfId="0" applyNumberFormat="1" applyFont="1" applyFill="1" applyBorder="1"/>
    <xf numFmtId="0" fontId="6" fillId="15" borderId="0" xfId="0" applyFont="1" applyFill="1" applyBorder="1"/>
    <xf numFmtId="0" fontId="6" fillId="15" borderId="0" xfId="0" applyFont="1" applyFill="1" applyBorder="1" applyAlignment="1">
      <alignment horizontal="center"/>
    </xf>
    <xf numFmtId="0" fontId="0" fillId="15" borderId="0" xfId="0" applyFont="1" applyFill="1" applyBorder="1"/>
    <xf numFmtId="165" fontId="0" fillId="15" borderId="0" xfId="0" applyNumberFormat="1" applyFill="1" applyBorder="1"/>
    <xf numFmtId="1" fontId="8" fillId="15" borderId="0" xfId="0" applyNumberFormat="1" applyFont="1" applyFill="1" applyBorder="1"/>
    <xf numFmtId="0" fontId="2" fillId="15" borderId="0" xfId="0" applyFont="1" applyFill="1" applyBorder="1"/>
    <xf numFmtId="165" fontId="2" fillId="15" borderId="0" xfId="0" applyNumberFormat="1" applyFont="1" applyFill="1" applyBorder="1"/>
    <xf numFmtId="1" fontId="10" fillId="15" borderId="0" xfId="0" applyNumberFormat="1" applyFont="1" applyFill="1" applyBorder="1"/>
    <xf numFmtId="164" fontId="2" fillId="13" borderId="0" xfId="0" applyNumberFormat="1" applyFont="1" applyFill="1" applyBorder="1"/>
    <xf numFmtId="164" fontId="2" fillId="14" borderId="0" xfId="0" applyNumberFormat="1" applyFont="1" applyFill="1" applyBorder="1"/>
    <xf numFmtId="0" fontId="1" fillId="11" borderId="0" xfId="0" applyFont="1" applyFill="1" applyBorder="1"/>
    <xf numFmtId="0" fontId="0" fillId="11" borderId="0" xfId="0" applyFill="1" applyBorder="1"/>
    <xf numFmtId="1" fontId="1" fillId="11" borderId="0" xfId="0" applyNumberFormat="1" applyFont="1" applyFill="1" applyBorder="1"/>
    <xf numFmtId="1" fontId="8" fillId="11" borderId="0" xfId="0" applyNumberFormat="1" applyFont="1" applyFill="1" applyBorder="1"/>
    <xf numFmtId="164" fontId="8" fillId="10" borderId="0" xfId="0" applyNumberFormat="1" applyFont="1" applyFill="1" applyBorder="1"/>
    <xf numFmtId="2" fontId="0" fillId="13" borderId="0" xfId="0" applyNumberFormat="1" applyFill="1" applyBorder="1"/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topLeftCell="A32" zoomScale="70" zoomScaleNormal="70" workbookViewId="0">
      <selection activeCell="A2" sqref="A2:P81"/>
    </sheetView>
  </sheetViews>
  <sheetFormatPr defaultColWidth="8.7109375" defaultRowHeight="15" x14ac:dyDescent="0.25"/>
  <cols>
    <col min="1" max="1" width="36.85546875" style="6" bestFit="1" customWidth="1"/>
    <col min="2" max="2" width="16.42578125" style="6" customWidth="1"/>
    <col min="3" max="3" width="21.28515625" style="6" customWidth="1"/>
    <col min="4" max="16384" width="8.7109375" style="6"/>
  </cols>
  <sheetData>
    <row r="1" spans="1:16" ht="15.75" x14ac:dyDescent="0.25">
      <c r="A1" s="4"/>
      <c r="B1" s="5"/>
      <c r="F1" s="7"/>
    </row>
    <row r="2" spans="1:16" ht="15.75" x14ac:dyDescent="0.25">
      <c r="A2" s="4" t="s">
        <v>0</v>
      </c>
      <c r="D2" s="8" t="s">
        <v>1</v>
      </c>
      <c r="E2" s="4" t="s">
        <v>2</v>
      </c>
      <c r="F2" s="4" t="s">
        <v>3</v>
      </c>
      <c r="G2" s="8" t="s">
        <v>4</v>
      </c>
      <c r="H2" s="4" t="s">
        <v>5</v>
      </c>
      <c r="I2" s="4" t="s">
        <v>6</v>
      </c>
      <c r="J2" s="8" t="s">
        <v>7</v>
      </c>
      <c r="K2" s="4" t="s">
        <v>8</v>
      </c>
      <c r="L2" s="4" t="s">
        <v>9</v>
      </c>
      <c r="M2" s="8" t="s">
        <v>10</v>
      </c>
      <c r="N2" s="4" t="s">
        <v>11</v>
      </c>
      <c r="O2" s="4" t="s">
        <v>12</v>
      </c>
      <c r="P2" s="4" t="s">
        <v>13</v>
      </c>
    </row>
    <row r="3" spans="1:16" ht="15.75" x14ac:dyDescent="0.25">
      <c r="A3" s="9" t="s">
        <v>14</v>
      </c>
      <c r="D3" s="7">
        <v>70.087074235807847</v>
      </c>
      <c r="E3" s="7">
        <v>55.55936073059361</v>
      </c>
      <c r="F3" s="7">
        <v>104.65255854293139</v>
      </c>
      <c r="G3" s="7">
        <v>233.50885964912291</v>
      </c>
      <c r="H3" s="7">
        <v>184.35131578947374</v>
      </c>
      <c r="I3" s="7">
        <v>107.76578947368419</v>
      </c>
      <c r="J3" s="7">
        <v>86.620748299319686</v>
      </c>
      <c r="K3" s="7">
        <v>99.054054054053907</v>
      </c>
      <c r="L3" s="7">
        <v>114.08980667838317</v>
      </c>
      <c r="M3" s="7">
        <v>179.79189189189199</v>
      </c>
      <c r="N3" s="7">
        <v>206.82982456140363</v>
      </c>
      <c r="O3" s="7">
        <v>109.05573491928628</v>
      </c>
      <c r="P3" s="144">
        <f>SUM(D3:O3)</f>
        <v>1551.3670188259523</v>
      </c>
    </row>
    <row r="4" spans="1:16" ht="15.75" x14ac:dyDescent="0.25">
      <c r="A4" s="12" t="s">
        <v>15</v>
      </c>
      <c r="D4" s="7">
        <v>51.611111111111128</v>
      </c>
      <c r="E4" s="7">
        <v>37.140384615384619</v>
      </c>
      <c r="F4" s="7">
        <v>80.499999999999972</v>
      </c>
      <c r="G4" s="7">
        <v>117.64869047619037</v>
      </c>
      <c r="H4" s="7">
        <v>56.785714285714299</v>
      </c>
      <c r="I4" s="7">
        <v>43.79488095238095</v>
      </c>
      <c r="J4" s="7">
        <v>34.592857142857163</v>
      </c>
      <c r="K4" s="7">
        <v>48.496428571428581</v>
      </c>
      <c r="L4" s="7">
        <v>38.260123456790126</v>
      </c>
      <c r="M4" s="7">
        <v>82.439234449760775</v>
      </c>
      <c r="N4" s="7">
        <v>135.61925925925922</v>
      </c>
      <c r="O4" s="7">
        <v>74.748148148148132</v>
      </c>
      <c r="P4" s="144">
        <f>SUM(D4:O4)</f>
        <v>801.63683246902531</v>
      </c>
    </row>
    <row r="5" spans="1:16" ht="15.75" x14ac:dyDescent="0.25">
      <c r="A5" s="12" t="s">
        <v>16</v>
      </c>
      <c r="D5" s="7">
        <v>52.226666666666674</v>
      </c>
      <c r="E5" s="7">
        <v>23.92789598108747</v>
      </c>
      <c r="F5" s="7">
        <v>74.740000000000009</v>
      </c>
      <c r="G5" s="7">
        <v>170.32777777777781</v>
      </c>
      <c r="H5" s="7">
        <v>93.586666666666673</v>
      </c>
      <c r="I5" s="7">
        <v>44.175000000000004</v>
      </c>
      <c r="J5" s="7">
        <v>51.286666666666662</v>
      </c>
      <c r="K5" s="7">
        <v>60.964285714285708</v>
      </c>
      <c r="L5" s="7">
        <v>47.909761904761893</v>
      </c>
      <c r="M5" s="7">
        <v>104.28</v>
      </c>
      <c r="N5" s="7">
        <v>141.25528888888886</v>
      </c>
      <c r="O5" s="7">
        <v>58.10666666666669</v>
      </c>
      <c r="P5" s="144">
        <f t="shared" ref="P5:P8" si="0">SUM(D5:O5)</f>
        <v>922.78667693346836</v>
      </c>
    </row>
    <row r="6" spans="1:16" ht="15.75" x14ac:dyDescent="0.25">
      <c r="A6" s="12" t="s">
        <v>17</v>
      </c>
      <c r="D6" s="7">
        <v>56.195652173913039</v>
      </c>
      <c r="E6" s="7">
        <v>37.112869822485216</v>
      </c>
      <c r="F6" s="7">
        <v>72.708298171589291</v>
      </c>
      <c r="G6" s="7">
        <v>102.11975714285705</v>
      </c>
      <c r="H6" s="7">
        <v>54.100284090909078</v>
      </c>
      <c r="I6" s="7">
        <v>19.327638888888892</v>
      </c>
      <c r="J6" s="7">
        <v>21.979542395693123</v>
      </c>
      <c r="K6" s="7">
        <v>28.675000000000008</v>
      </c>
      <c r="L6" s="7">
        <v>24.528372739916549</v>
      </c>
      <c r="M6" s="7">
        <v>74.112499999999969</v>
      </c>
      <c r="N6" s="7">
        <v>131.29487534626028</v>
      </c>
      <c r="O6" s="7">
        <v>67.276241610738268</v>
      </c>
      <c r="P6" s="144">
        <f t="shared" si="0"/>
        <v>689.43103238325068</v>
      </c>
    </row>
    <row r="7" spans="1:16" ht="15.75" x14ac:dyDescent="0.25">
      <c r="A7" s="9" t="s">
        <v>18</v>
      </c>
      <c r="D7" s="7">
        <v>24.314541387024608</v>
      </c>
      <c r="E7" s="7">
        <v>13.781442080378255</v>
      </c>
      <c r="F7" s="7">
        <v>46.389777777777802</v>
      </c>
      <c r="G7" s="7">
        <v>132.78689655172423</v>
      </c>
      <c r="H7" s="7">
        <v>109.80344827586202</v>
      </c>
      <c r="I7" s="7">
        <v>62.25298850574714</v>
      </c>
      <c r="J7" s="7">
        <v>68.096551724137953</v>
      </c>
      <c r="K7" s="7">
        <v>67.754733405875982</v>
      </c>
      <c r="L7" s="7">
        <v>54.091555555555558</v>
      </c>
      <c r="M7" s="7">
        <v>81.499999999999929</v>
      </c>
      <c r="N7" s="7">
        <v>100.66551724137939</v>
      </c>
      <c r="O7" s="7">
        <v>36.853333333333325</v>
      </c>
      <c r="P7" s="144">
        <f t="shared" si="0"/>
        <v>798.29078583879618</v>
      </c>
    </row>
    <row r="8" spans="1:16" ht="15.75" x14ac:dyDescent="0.25">
      <c r="A8" s="9" t="s">
        <v>72</v>
      </c>
      <c r="D8" s="7">
        <v>11.229526227800001</v>
      </c>
      <c r="E8" s="7">
        <v>3.8905318910442488</v>
      </c>
      <c r="F8" s="7">
        <v>13.976110265400008</v>
      </c>
      <c r="G8" s="7">
        <v>51.003069409533332</v>
      </c>
      <c r="H8" s="7">
        <v>26.517670195721951</v>
      </c>
      <c r="I8" s="7">
        <v>7.6074830014666679</v>
      </c>
      <c r="J8" s="7">
        <v>4.3260336924000011</v>
      </c>
      <c r="K8" s="7">
        <v>4.1501841555085752</v>
      </c>
      <c r="L8" s="7">
        <v>1.2479175221931422</v>
      </c>
      <c r="M8" s="7">
        <v>18.575208388697128</v>
      </c>
      <c r="N8" s="7">
        <v>52.49345895338746</v>
      </c>
      <c r="O8" s="7">
        <v>23.789267626131473</v>
      </c>
      <c r="P8" s="144">
        <f t="shared" si="0"/>
        <v>218.80646132928399</v>
      </c>
    </row>
    <row r="9" spans="1:16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6" t="s">
        <v>19</v>
      </c>
      <c r="B10" s="17" t="s">
        <v>20</v>
      </c>
      <c r="C10" s="16" t="s">
        <v>21</v>
      </c>
      <c r="D10" s="16" t="s">
        <v>22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A11" s="16" t="s">
        <v>23</v>
      </c>
      <c r="B11" s="17"/>
      <c r="C11" s="16">
        <v>15200</v>
      </c>
      <c r="D11" s="16">
        <f>(C11*1000*1000)/10000</f>
        <v>1520000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4.45" customHeight="1" x14ac:dyDescent="0.25">
      <c r="A13" s="15"/>
      <c r="B13" s="14"/>
      <c r="C13" s="13"/>
      <c r="D13" s="143" t="s">
        <v>69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15.75" x14ac:dyDescent="0.25">
      <c r="A14" s="6" t="s">
        <v>70</v>
      </c>
      <c r="B14" s="20" t="s">
        <v>22</v>
      </c>
      <c r="C14" s="19" t="s">
        <v>24</v>
      </c>
      <c r="D14" s="19" t="s">
        <v>25</v>
      </c>
      <c r="E14" s="19" t="s">
        <v>26</v>
      </c>
      <c r="F14" s="19" t="s">
        <v>3</v>
      </c>
      <c r="G14" s="19" t="s">
        <v>4</v>
      </c>
      <c r="H14" s="19" t="s">
        <v>5</v>
      </c>
      <c r="I14" s="19" t="s">
        <v>6</v>
      </c>
      <c r="J14" s="19" t="s">
        <v>7</v>
      </c>
      <c r="K14" s="19" t="s">
        <v>8</v>
      </c>
      <c r="L14" s="19" t="s">
        <v>9</v>
      </c>
      <c r="M14" s="19" t="s">
        <v>10</v>
      </c>
      <c r="N14" s="19" t="s">
        <v>11</v>
      </c>
      <c r="O14" s="19" t="s">
        <v>12</v>
      </c>
      <c r="P14" s="21" t="s">
        <v>27</v>
      </c>
    </row>
    <row r="15" spans="1:16" ht="15.75" x14ac:dyDescent="0.25">
      <c r="A15" s="22" t="s">
        <v>28</v>
      </c>
      <c r="B15" s="23"/>
      <c r="C15" s="24" t="s">
        <v>29</v>
      </c>
      <c r="D15" s="25">
        <f>D3*0.33+D7*0.33+D5*0.33</f>
        <v>48.387333155534719</v>
      </c>
      <c r="E15" s="25">
        <f>E3*0.33+E7*0.33+E5*0.33</f>
        <v>30.778670601379581</v>
      </c>
      <c r="F15" s="25">
        <f>F3*0.33+F7*0.33+F5*0.33</f>
        <v>74.508170985834042</v>
      </c>
      <c r="G15" s="25">
        <f>G3*0.33+G7*0.33+G5*0.33</f>
        <v>177.08576621294623</v>
      </c>
      <c r="H15" s="25">
        <f>H3*0.33+H7*0.33+H5*0.33</f>
        <v>127.95467214156082</v>
      </c>
      <c r="I15" s="25">
        <f>I3*0.33+I7*0.33+I5*0.33</f>
        <v>70.683946733212338</v>
      </c>
      <c r="J15" s="25">
        <f>J3*0.33+J7*0.33+J5*0.33</f>
        <v>67.981309007741018</v>
      </c>
      <c r="K15" s="25">
        <f>K3*0.33+K7*0.33+K5*0.33</f>
        <v>75.165114147491153</v>
      </c>
      <c r="L15" s="25">
        <f>L3*0.33+L7*0.33+L5*0.33</f>
        <v>71.310070965771217</v>
      </c>
      <c r="M15" s="25">
        <f>M3*0.33+M7*0.33+M5*0.33</f>
        <v>120.63872432432434</v>
      </c>
      <c r="N15" s="25">
        <f>N3*0.33+N7*0.33+N5*0.33</f>
        <v>148.08770812825173</v>
      </c>
      <c r="O15" s="25">
        <f>O3*0.33+O7*0.33+O5*0.33</f>
        <v>67.325192523364478</v>
      </c>
      <c r="P15" s="26">
        <f t="shared" ref="P15:P50" si="1">SUM(D15:O15)</f>
        <v>1079.9066789274118</v>
      </c>
    </row>
    <row r="16" spans="1:16" ht="15.75" x14ac:dyDescent="0.25">
      <c r="A16" s="27" t="s">
        <v>74</v>
      </c>
      <c r="B16" s="23"/>
      <c r="C16" s="24" t="s">
        <v>30</v>
      </c>
      <c r="D16" s="25">
        <f>D15*$B$17*10000*(1/1000)*(1/1000000)</f>
        <v>85.316545819838808</v>
      </c>
      <c r="E16" s="25">
        <f>E15*$B$17*10000*(1/1000)*(1/1000000)</f>
        <v>54.268952004352471</v>
      </c>
      <c r="F16" s="25">
        <f t="shared" ref="F16:O16" si="2">F15*$B$17*10000*(1/1000)*(1/1000000)</f>
        <v>131.37280708222258</v>
      </c>
      <c r="G16" s="25">
        <f t="shared" si="2"/>
        <v>312.23762298666679</v>
      </c>
      <c r="H16" s="25">
        <f t="shared" si="2"/>
        <v>225.60967792000002</v>
      </c>
      <c r="I16" s="25">
        <f t="shared" si="2"/>
        <v>124.62993487999999</v>
      </c>
      <c r="J16" s="25">
        <f t="shared" si="2"/>
        <v>119.86464404244896</v>
      </c>
      <c r="K16" s="25">
        <f t="shared" si="2"/>
        <v>132.53112926485642</v>
      </c>
      <c r="L16" s="25">
        <f t="shared" si="2"/>
        <v>125.73391712684781</v>
      </c>
      <c r="M16" s="25">
        <f t="shared" si="2"/>
        <v>212.71019872864869</v>
      </c>
      <c r="N16" s="25">
        <f t="shared" si="2"/>
        <v>261.10824697173342</v>
      </c>
      <c r="O16" s="25">
        <f t="shared" si="2"/>
        <v>118.70777945719624</v>
      </c>
      <c r="P16" s="26">
        <f t="shared" si="1"/>
        <v>1904.0914562848122</v>
      </c>
    </row>
    <row r="17" spans="1:16" ht="15.75" x14ac:dyDescent="0.25">
      <c r="A17" s="28" t="s">
        <v>31</v>
      </c>
      <c r="B17" s="23">
        <f>D11*0.116</f>
        <v>176320</v>
      </c>
      <c r="C17" s="24" t="s">
        <v>65</v>
      </c>
      <c r="D17" s="25">
        <f>D16*0.7</f>
        <v>59.721582073887163</v>
      </c>
      <c r="E17" s="25">
        <f t="shared" ref="E17:O17" si="3">E16*0.7</f>
        <v>37.98826640304673</v>
      </c>
      <c r="F17" s="25">
        <f t="shared" si="3"/>
        <v>91.960964957555802</v>
      </c>
      <c r="G17" s="25">
        <f t="shared" si="3"/>
        <v>218.56633609066674</v>
      </c>
      <c r="H17" s="25">
        <f t="shared" si="3"/>
        <v>157.92677454400001</v>
      </c>
      <c r="I17" s="25">
        <f t="shared" si="3"/>
        <v>87.240954415999994</v>
      </c>
      <c r="J17" s="25">
        <f t="shared" si="3"/>
        <v>83.905250829714262</v>
      </c>
      <c r="K17" s="25">
        <f t="shared" si="3"/>
        <v>92.771790485399492</v>
      </c>
      <c r="L17" s="25">
        <f t="shared" si="3"/>
        <v>88.01374198879347</v>
      </c>
      <c r="M17" s="25">
        <f t="shared" si="3"/>
        <v>148.89713911005407</v>
      </c>
      <c r="N17" s="25">
        <f t="shared" si="3"/>
        <v>182.7757728802134</v>
      </c>
      <c r="O17" s="25">
        <f t="shared" si="3"/>
        <v>83.095445620037367</v>
      </c>
      <c r="P17" s="29">
        <f t="shared" si="1"/>
        <v>1332.8640193993688</v>
      </c>
    </row>
    <row r="18" spans="1:16" ht="15.75" x14ac:dyDescent="0.25">
      <c r="A18" s="28"/>
      <c r="B18" s="24"/>
      <c r="C18" s="30" t="s">
        <v>66</v>
      </c>
      <c r="D18" s="28">
        <f>D16*0.3</f>
        <v>25.594963745951642</v>
      </c>
      <c r="E18" s="28">
        <f t="shared" ref="E18:O18" si="4">E16*0.3</f>
        <v>16.280685601305741</v>
      </c>
      <c r="F18" s="28">
        <f t="shared" si="4"/>
        <v>39.411842124666769</v>
      </c>
      <c r="G18" s="28">
        <f t="shared" si="4"/>
        <v>93.671286896000041</v>
      </c>
      <c r="H18" s="28">
        <f t="shared" si="4"/>
        <v>67.682903375999999</v>
      </c>
      <c r="I18" s="28">
        <f t="shared" si="4"/>
        <v>37.388980463999999</v>
      </c>
      <c r="J18" s="28">
        <f t="shared" si="4"/>
        <v>35.959393212734689</v>
      </c>
      <c r="K18" s="28">
        <f t="shared" si="4"/>
        <v>39.759338779456925</v>
      </c>
      <c r="L18" s="28">
        <f t="shared" si="4"/>
        <v>37.720175138054344</v>
      </c>
      <c r="M18" s="28">
        <f t="shared" si="4"/>
        <v>63.813059618594608</v>
      </c>
      <c r="N18" s="28">
        <f t="shared" si="4"/>
        <v>78.332474091520027</v>
      </c>
      <c r="O18" s="28">
        <f t="shared" si="4"/>
        <v>35.612333837158872</v>
      </c>
      <c r="P18" s="31">
        <f t="shared" si="1"/>
        <v>571.22743688544369</v>
      </c>
    </row>
    <row r="19" spans="1:16" ht="15.75" x14ac:dyDescent="0.25">
      <c r="A19" s="32" t="s">
        <v>32</v>
      </c>
      <c r="B19" s="33">
        <f>$D$11*0.35</f>
        <v>532000</v>
      </c>
      <c r="C19" s="34" t="s">
        <v>29</v>
      </c>
      <c r="D19" s="35">
        <f>D4</f>
        <v>51.611111111111128</v>
      </c>
      <c r="E19" s="35">
        <f>E4</f>
        <v>37.140384615384619</v>
      </c>
      <c r="F19" s="35">
        <f>F4</f>
        <v>80.499999999999972</v>
      </c>
      <c r="G19" s="35">
        <f>G4</f>
        <v>117.64869047619037</v>
      </c>
      <c r="H19" s="35">
        <f>H4</f>
        <v>56.785714285714299</v>
      </c>
      <c r="I19" s="35">
        <f>I4</f>
        <v>43.79488095238095</v>
      </c>
      <c r="J19" s="35">
        <f>J4</f>
        <v>34.592857142857163</v>
      </c>
      <c r="K19" s="35">
        <f>K4</f>
        <v>48.496428571428581</v>
      </c>
      <c r="L19" s="35">
        <f>L4</f>
        <v>38.260123456790126</v>
      </c>
      <c r="M19" s="35">
        <f>M4</f>
        <v>82.439234449760775</v>
      </c>
      <c r="N19" s="35">
        <f>N4</f>
        <v>135.61925925925922</v>
      </c>
      <c r="O19" s="35">
        <f>O4</f>
        <v>74.748148148148132</v>
      </c>
      <c r="P19" s="36">
        <f t="shared" si="1"/>
        <v>801.63683246902531</v>
      </c>
    </row>
    <row r="20" spans="1:16" ht="15.75" x14ac:dyDescent="0.25">
      <c r="A20" s="37" t="s">
        <v>73</v>
      </c>
      <c r="B20" s="33"/>
      <c r="C20" s="34" t="s">
        <v>30</v>
      </c>
      <c r="D20" s="35">
        <f>D19*$B$19*10000*(1/1000)*(1/1000000)</f>
        <v>274.57111111111124</v>
      </c>
      <c r="E20" s="35">
        <f t="shared" ref="E20:O20" si="5">E19*$B$19*10000*(1/1000)*(1/1000000)</f>
        <v>197.58684615384615</v>
      </c>
      <c r="F20" s="35">
        <f t="shared" si="5"/>
        <v>428.25999999999988</v>
      </c>
      <c r="G20" s="35">
        <f t="shared" si="5"/>
        <v>625.89103333333276</v>
      </c>
      <c r="H20" s="35">
        <f t="shared" si="5"/>
        <v>302.10000000000002</v>
      </c>
      <c r="I20" s="35">
        <f t="shared" si="5"/>
        <v>232.98876666666663</v>
      </c>
      <c r="J20" s="35">
        <f t="shared" si="5"/>
        <v>184.03400000000011</v>
      </c>
      <c r="K20" s="35">
        <f t="shared" si="5"/>
        <v>258.00100000000003</v>
      </c>
      <c r="L20" s="35">
        <f t="shared" si="5"/>
        <v>203.54385679012347</v>
      </c>
      <c r="M20" s="35">
        <f t="shared" si="5"/>
        <v>438.57672727272734</v>
      </c>
      <c r="N20" s="35">
        <f t="shared" si="5"/>
        <v>721.4944592592592</v>
      </c>
      <c r="O20" s="35">
        <f t="shared" si="5"/>
        <v>397.66014814814804</v>
      </c>
      <c r="P20" s="36">
        <f t="shared" si="1"/>
        <v>4264.7079487352157</v>
      </c>
    </row>
    <row r="21" spans="1:16" ht="15.75" x14ac:dyDescent="0.25">
      <c r="A21" s="38" t="s">
        <v>33</v>
      </c>
      <c r="B21" s="33"/>
      <c r="C21" s="39" t="s">
        <v>67</v>
      </c>
      <c r="D21" s="35">
        <f>D20*0.9</f>
        <v>247.11400000000012</v>
      </c>
      <c r="E21" s="35">
        <f t="shared" ref="E21:O21" si="6">E20*0.9</f>
        <v>177.82816153846153</v>
      </c>
      <c r="F21" s="35">
        <f t="shared" si="6"/>
        <v>385.43399999999991</v>
      </c>
      <c r="G21" s="35">
        <f t="shared" si="6"/>
        <v>563.30192999999952</v>
      </c>
      <c r="H21" s="35">
        <f t="shared" si="6"/>
        <v>271.89000000000004</v>
      </c>
      <c r="I21" s="35">
        <f t="shared" si="6"/>
        <v>209.68988999999996</v>
      </c>
      <c r="J21" s="35">
        <f t="shared" si="6"/>
        <v>165.6306000000001</v>
      </c>
      <c r="K21" s="35">
        <f t="shared" si="6"/>
        <v>232.20090000000005</v>
      </c>
      <c r="L21" s="35">
        <f t="shared" si="6"/>
        <v>183.18947111111112</v>
      </c>
      <c r="M21" s="35">
        <f t="shared" si="6"/>
        <v>394.71905454545464</v>
      </c>
      <c r="N21" s="35">
        <f t="shared" si="6"/>
        <v>649.34501333333333</v>
      </c>
      <c r="O21" s="35">
        <f t="shared" si="6"/>
        <v>357.89413333333323</v>
      </c>
      <c r="P21" s="40">
        <f t="shared" si="1"/>
        <v>3838.2371538616935</v>
      </c>
    </row>
    <row r="22" spans="1:16" ht="15.75" x14ac:dyDescent="0.25">
      <c r="A22" s="34"/>
      <c r="B22" s="34"/>
      <c r="C22" s="38" t="s">
        <v>66</v>
      </c>
      <c r="D22" s="41">
        <f>D20*0.1</f>
        <v>27.457111111111125</v>
      </c>
      <c r="E22" s="41">
        <f t="shared" ref="E22:O22" si="7">E20*0.1</f>
        <v>19.758684615384617</v>
      </c>
      <c r="F22" s="41">
        <f t="shared" si="7"/>
        <v>42.825999999999993</v>
      </c>
      <c r="G22" s="41">
        <f t="shared" si="7"/>
        <v>62.589103333333277</v>
      </c>
      <c r="H22" s="41">
        <f t="shared" si="7"/>
        <v>30.210000000000004</v>
      </c>
      <c r="I22" s="41">
        <f t="shared" si="7"/>
        <v>23.298876666666665</v>
      </c>
      <c r="J22" s="41">
        <f t="shared" si="7"/>
        <v>18.403400000000012</v>
      </c>
      <c r="K22" s="41">
        <f t="shared" si="7"/>
        <v>25.800100000000004</v>
      </c>
      <c r="L22" s="41">
        <f t="shared" si="7"/>
        <v>20.354385679012349</v>
      </c>
      <c r="M22" s="41">
        <f t="shared" si="7"/>
        <v>43.857672727272735</v>
      </c>
      <c r="N22" s="41">
        <f t="shared" si="7"/>
        <v>72.149445925925917</v>
      </c>
      <c r="O22" s="41">
        <f t="shared" si="7"/>
        <v>39.76601481481481</v>
      </c>
      <c r="P22" s="42">
        <f t="shared" si="1"/>
        <v>426.47079487352153</v>
      </c>
    </row>
    <row r="23" spans="1:16" ht="15.75" x14ac:dyDescent="0.25">
      <c r="A23" s="43" t="s">
        <v>34</v>
      </c>
      <c r="B23" s="44">
        <f>D11*0.43</f>
        <v>653600</v>
      </c>
      <c r="C23" s="45" t="s">
        <v>29</v>
      </c>
      <c r="D23" s="46">
        <f>D8</f>
        <v>11.229526227800001</v>
      </c>
      <c r="E23" s="46">
        <f>E8</f>
        <v>3.8905318910442488</v>
      </c>
      <c r="F23" s="46">
        <f>F8</f>
        <v>13.976110265400008</v>
      </c>
      <c r="G23" s="46">
        <f>G8</f>
        <v>51.003069409533332</v>
      </c>
      <c r="H23" s="46">
        <f>H8</f>
        <v>26.517670195721951</v>
      </c>
      <c r="I23" s="46">
        <f>I8</f>
        <v>7.6074830014666679</v>
      </c>
      <c r="J23" s="46">
        <f>J8</f>
        <v>4.3260336924000011</v>
      </c>
      <c r="K23" s="46">
        <f>K8</f>
        <v>4.1501841555085752</v>
      </c>
      <c r="L23" s="46">
        <f>L8</f>
        <v>1.2479175221931422</v>
      </c>
      <c r="M23" s="46">
        <f>M8</f>
        <v>18.575208388697128</v>
      </c>
      <c r="N23" s="46">
        <f>N8</f>
        <v>52.49345895338746</v>
      </c>
      <c r="O23" s="46">
        <f>O8</f>
        <v>23.789267626131473</v>
      </c>
      <c r="P23" s="47">
        <f t="shared" si="1"/>
        <v>218.80646132928399</v>
      </c>
    </row>
    <row r="24" spans="1:16" ht="15.75" x14ac:dyDescent="0.25">
      <c r="A24" s="48" t="s">
        <v>35</v>
      </c>
      <c r="B24" s="44"/>
      <c r="C24" s="45" t="s">
        <v>30</v>
      </c>
      <c r="D24" s="46">
        <f>D23*$B$23*10000*(1/1000)*(1/1000000)</f>
        <v>73.396183424900798</v>
      </c>
      <c r="E24" s="46">
        <f t="shared" ref="E24:O24" si="8">E23*$B$23*10000*(1/1000)*(1/1000000)</f>
        <v>25.428516439865209</v>
      </c>
      <c r="F24" s="46">
        <f t="shared" si="8"/>
        <v>91.347856694654439</v>
      </c>
      <c r="G24" s="46">
        <f t="shared" si="8"/>
        <v>333.35606166070983</v>
      </c>
      <c r="H24" s="46">
        <f t="shared" si="8"/>
        <v>173.31949239923867</v>
      </c>
      <c r="I24" s="46">
        <f t="shared" si="8"/>
        <v>49.722508897586138</v>
      </c>
      <c r="J24" s="46">
        <f t="shared" si="8"/>
        <v>28.274956213526409</v>
      </c>
      <c r="K24" s="46">
        <f t="shared" si="8"/>
        <v>27.125603640404044</v>
      </c>
      <c r="L24" s="46">
        <f t="shared" si="8"/>
        <v>8.1563889250543777</v>
      </c>
      <c r="M24" s="46">
        <f t="shared" si="8"/>
        <v>121.40756202852442</v>
      </c>
      <c r="N24" s="46">
        <f t="shared" si="8"/>
        <v>343.09724771934043</v>
      </c>
      <c r="O24" s="46">
        <f t="shared" si="8"/>
        <v>155.48665320439528</v>
      </c>
      <c r="P24" s="47">
        <f t="shared" si="1"/>
        <v>1430.1190312481999</v>
      </c>
    </row>
    <row r="25" spans="1:16" ht="15.75" x14ac:dyDescent="0.25">
      <c r="A25" s="49" t="s">
        <v>75</v>
      </c>
      <c r="B25" s="45"/>
      <c r="C25" s="50" t="s">
        <v>67</v>
      </c>
      <c r="D25" s="46">
        <f t="shared" ref="D25:O25" si="9">D24</f>
        <v>73.396183424900798</v>
      </c>
      <c r="E25" s="46">
        <f t="shared" si="9"/>
        <v>25.428516439865209</v>
      </c>
      <c r="F25" s="46">
        <f t="shared" si="9"/>
        <v>91.347856694654439</v>
      </c>
      <c r="G25" s="46">
        <f t="shared" si="9"/>
        <v>333.35606166070983</v>
      </c>
      <c r="H25" s="46">
        <f t="shared" si="9"/>
        <v>173.31949239923867</v>
      </c>
      <c r="I25" s="46">
        <f t="shared" si="9"/>
        <v>49.722508897586138</v>
      </c>
      <c r="J25" s="46">
        <f t="shared" si="9"/>
        <v>28.274956213526409</v>
      </c>
      <c r="K25" s="46">
        <f t="shared" si="9"/>
        <v>27.125603640404044</v>
      </c>
      <c r="L25" s="46">
        <f t="shared" si="9"/>
        <v>8.1563889250543777</v>
      </c>
      <c r="M25" s="46">
        <f t="shared" si="9"/>
        <v>121.40756202852442</v>
      </c>
      <c r="N25" s="46">
        <f t="shared" si="9"/>
        <v>343.09724771934043</v>
      </c>
      <c r="O25" s="46">
        <f t="shared" si="9"/>
        <v>155.48665320439528</v>
      </c>
      <c r="P25" s="51">
        <f t="shared" si="1"/>
        <v>1430.1190312481999</v>
      </c>
    </row>
    <row r="26" spans="1:16" ht="15.75" x14ac:dyDescent="0.25">
      <c r="A26" s="52" t="s">
        <v>36</v>
      </c>
      <c r="B26" s="53">
        <f>($D$11*0.1)-B40</f>
        <v>110000</v>
      </c>
      <c r="C26" s="54" t="s">
        <v>29</v>
      </c>
      <c r="D26" s="55">
        <f>D7</f>
        <v>24.314541387024608</v>
      </c>
      <c r="E26" s="55">
        <f>E7</f>
        <v>13.781442080378255</v>
      </c>
      <c r="F26" s="55">
        <f>F7</f>
        <v>46.389777777777802</v>
      </c>
      <c r="G26" s="55">
        <f>G7</f>
        <v>132.78689655172423</v>
      </c>
      <c r="H26" s="55">
        <f>H7</f>
        <v>109.80344827586202</v>
      </c>
      <c r="I26" s="55">
        <f>I7</f>
        <v>62.25298850574714</v>
      </c>
      <c r="J26" s="55">
        <f>J7</f>
        <v>68.096551724137953</v>
      </c>
      <c r="K26" s="55">
        <f>K7</f>
        <v>67.754733405875982</v>
      </c>
      <c r="L26" s="55">
        <f>L7</f>
        <v>54.091555555555558</v>
      </c>
      <c r="M26" s="55">
        <f>M7</f>
        <v>81.499999999999929</v>
      </c>
      <c r="N26" s="55">
        <f>N7</f>
        <v>100.66551724137939</v>
      </c>
      <c r="O26" s="55">
        <f>O7</f>
        <v>36.853333333333325</v>
      </c>
      <c r="P26" s="56">
        <f t="shared" si="1"/>
        <v>798.29078583879618</v>
      </c>
    </row>
    <row r="27" spans="1:16" ht="15.75" x14ac:dyDescent="0.25">
      <c r="A27" s="57" t="s">
        <v>49</v>
      </c>
      <c r="B27" s="58"/>
      <c r="C27" s="54" t="s">
        <v>30</v>
      </c>
      <c r="D27" s="55">
        <f>D26*$B$26*10000*(1/1000)*(1/1000000)</f>
        <v>26.745995525727064</v>
      </c>
      <c r="E27" s="55">
        <f t="shared" ref="E27:O27" si="10">E26*$B$26*10000*(1/1000)*(1/1000000)</f>
        <v>15.159586288416079</v>
      </c>
      <c r="F27" s="55">
        <f t="shared" si="10"/>
        <v>51.028755555555577</v>
      </c>
      <c r="G27" s="55">
        <f t="shared" si="10"/>
        <v>146.06558620689663</v>
      </c>
      <c r="H27" s="55">
        <f t="shared" si="10"/>
        <v>120.78379310344822</v>
      </c>
      <c r="I27" s="55">
        <f t="shared" si="10"/>
        <v>68.478287356321857</v>
      </c>
      <c r="J27" s="55">
        <f t="shared" si="10"/>
        <v>74.906206896551737</v>
      </c>
      <c r="K27" s="55">
        <f t="shared" si="10"/>
        <v>74.530206746463577</v>
      </c>
      <c r="L27" s="55">
        <f t="shared" si="10"/>
        <v>59.500711111111102</v>
      </c>
      <c r="M27" s="55">
        <f t="shared" si="10"/>
        <v>89.64999999999992</v>
      </c>
      <c r="N27" s="55">
        <f t="shared" si="10"/>
        <v>110.73206896551734</v>
      </c>
      <c r="O27" s="55">
        <f t="shared" si="10"/>
        <v>40.538666666666657</v>
      </c>
      <c r="P27" s="56">
        <f t="shared" si="1"/>
        <v>878.11986442267573</v>
      </c>
    </row>
    <row r="28" spans="1:16" ht="15.75" x14ac:dyDescent="0.25">
      <c r="A28" s="54" t="s">
        <v>37</v>
      </c>
      <c r="B28" s="58"/>
      <c r="C28" s="54" t="s">
        <v>38</v>
      </c>
      <c r="D28" s="55">
        <v>276.93720616643333</v>
      </c>
      <c r="E28" s="55">
        <v>319.05101220717688</v>
      </c>
      <c r="F28" s="55">
        <v>320.37895915570925</v>
      </c>
      <c r="G28" s="55">
        <v>263.75990590685456</v>
      </c>
      <c r="H28" s="55">
        <v>241.5187047776563</v>
      </c>
      <c r="I28" s="55">
        <v>242.4732641469985</v>
      </c>
      <c r="J28" s="55">
        <v>246.46002937669221</v>
      </c>
      <c r="K28" s="55">
        <v>267.75772660199004</v>
      </c>
      <c r="L28" s="55">
        <v>307.94833998392585</v>
      </c>
      <c r="M28" s="55">
        <v>283.64244447018757</v>
      </c>
      <c r="N28" s="55">
        <v>227.02876028246948</v>
      </c>
      <c r="O28" s="55">
        <v>239.77971927374614</v>
      </c>
      <c r="P28" s="56">
        <f t="shared" si="1"/>
        <v>3236.73607234984</v>
      </c>
    </row>
    <row r="29" spans="1:16" ht="15.75" x14ac:dyDescent="0.25">
      <c r="A29" s="54"/>
      <c r="B29" s="54"/>
      <c r="C29" s="59" t="s">
        <v>67</v>
      </c>
      <c r="D29" s="55">
        <f>D27*0.8</f>
        <v>21.396796420581651</v>
      </c>
      <c r="E29" s="55">
        <f t="shared" ref="E29:O29" si="11">E27*0.8</f>
        <v>12.127669030732864</v>
      </c>
      <c r="F29" s="55">
        <f t="shared" si="11"/>
        <v>40.823004444444464</v>
      </c>
      <c r="G29" s="55">
        <f t="shared" si="11"/>
        <v>116.8524689655173</v>
      </c>
      <c r="H29" s="55">
        <f t="shared" si="11"/>
        <v>96.627034482758575</v>
      </c>
      <c r="I29" s="55">
        <f t="shared" si="11"/>
        <v>54.782629885057489</v>
      </c>
      <c r="J29" s="55">
        <f t="shared" si="11"/>
        <v>59.92496551724139</v>
      </c>
      <c r="K29" s="55">
        <f t="shared" si="11"/>
        <v>59.624165397170863</v>
      </c>
      <c r="L29" s="55">
        <f t="shared" si="11"/>
        <v>47.600568888888887</v>
      </c>
      <c r="M29" s="55">
        <f t="shared" si="11"/>
        <v>71.719999999999942</v>
      </c>
      <c r="N29" s="55">
        <f t="shared" si="11"/>
        <v>88.58565517241388</v>
      </c>
      <c r="O29" s="55">
        <f t="shared" si="11"/>
        <v>32.430933333333329</v>
      </c>
      <c r="P29" s="60">
        <f t="shared" si="1"/>
        <v>702.49589153814065</v>
      </c>
    </row>
    <row r="30" spans="1:16" ht="15.75" x14ac:dyDescent="0.25">
      <c r="A30" s="54"/>
      <c r="B30" s="54"/>
      <c r="C30" s="61" t="s">
        <v>66</v>
      </c>
      <c r="D30" s="55">
        <f>D27*0.2</f>
        <v>5.3491991051454129</v>
      </c>
      <c r="E30" s="55">
        <f t="shared" ref="E30:O30" si="12">E27*0.2</f>
        <v>3.0319172576832161</v>
      </c>
      <c r="F30" s="55">
        <f t="shared" si="12"/>
        <v>10.205751111111116</v>
      </c>
      <c r="G30" s="55">
        <f t="shared" si="12"/>
        <v>29.213117241379326</v>
      </c>
      <c r="H30" s="55">
        <f t="shared" si="12"/>
        <v>24.156758620689644</v>
      </c>
      <c r="I30" s="55">
        <f t="shared" si="12"/>
        <v>13.695657471264372</v>
      </c>
      <c r="J30" s="55">
        <f t="shared" si="12"/>
        <v>14.981241379310347</v>
      </c>
      <c r="K30" s="55">
        <f t="shared" si="12"/>
        <v>14.906041349292716</v>
      </c>
      <c r="L30" s="55">
        <f t="shared" si="12"/>
        <v>11.900142222222222</v>
      </c>
      <c r="M30" s="55">
        <f t="shared" si="12"/>
        <v>17.929999999999986</v>
      </c>
      <c r="N30" s="55">
        <f t="shared" si="12"/>
        <v>22.14641379310347</v>
      </c>
      <c r="O30" s="55">
        <f t="shared" si="12"/>
        <v>8.1077333333333321</v>
      </c>
      <c r="P30" s="62">
        <f t="shared" si="1"/>
        <v>175.62397288453516</v>
      </c>
    </row>
    <row r="31" spans="1:16" ht="15.75" x14ac:dyDescent="0.25">
      <c r="A31" s="84" t="s">
        <v>39</v>
      </c>
      <c r="B31" s="18">
        <f>4000</f>
        <v>4000</v>
      </c>
      <c r="C31" s="11" t="s">
        <v>29</v>
      </c>
      <c r="D31" s="10">
        <f>D7</f>
        <v>24.314541387024608</v>
      </c>
      <c r="E31" s="10">
        <f>E7</f>
        <v>13.781442080378255</v>
      </c>
      <c r="F31" s="10">
        <f>F7</f>
        <v>46.389777777777802</v>
      </c>
      <c r="G31" s="10">
        <f>G7</f>
        <v>132.78689655172423</v>
      </c>
      <c r="H31" s="10">
        <f>H7</f>
        <v>109.80344827586202</v>
      </c>
      <c r="I31" s="10">
        <f>I7</f>
        <v>62.25298850574714</v>
      </c>
      <c r="J31" s="10">
        <f>J7</f>
        <v>68.096551724137953</v>
      </c>
      <c r="K31" s="10">
        <f>K7</f>
        <v>67.754733405875982</v>
      </c>
      <c r="L31" s="10">
        <f>L7</f>
        <v>54.091555555555558</v>
      </c>
      <c r="M31" s="10">
        <f>M7</f>
        <v>81.499999999999929</v>
      </c>
      <c r="N31" s="10">
        <f>N7</f>
        <v>100.66551724137939</v>
      </c>
      <c r="O31" s="10">
        <f>O7</f>
        <v>36.853333333333325</v>
      </c>
      <c r="P31" s="87">
        <f t="shared" ref="P31:P35" si="13">SUM(D31:O31)</f>
        <v>798.29078583879618</v>
      </c>
    </row>
    <row r="32" spans="1:16" ht="15.75" x14ac:dyDescent="0.25">
      <c r="A32" s="94" t="s">
        <v>40</v>
      </c>
      <c r="B32" s="18"/>
      <c r="C32" s="11" t="s">
        <v>30</v>
      </c>
      <c r="D32" s="86">
        <f>D31*$B$31*10000*(1/1000)*(1/1000000)</f>
        <v>0.9725816554809843</v>
      </c>
      <c r="E32" s="86">
        <f t="shared" ref="E32:O32" si="14">E31*$B$31*10000*(1/1000)*(1/1000000)</f>
        <v>0.55125768321513025</v>
      </c>
      <c r="F32" s="86">
        <f t="shared" si="14"/>
        <v>1.8555911111111121</v>
      </c>
      <c r="G32" s="86">
        <f t="shared" si="14"/>
        <v>5.3114758620689697</v>
      </c>
      <c r="H32" s="86">
        <f t="shared" si="14"/>
        <v>4.3921379310344806</v>
      </c>
      <c r="I32" s="86">
        <f t="shared" si="14"/>
        <v>2.4901195402298857</v>
      </c>
      <c r="J32" s="86">
        <f t="shared" si="14"/>
        <v>2.7238620689655182</v>
      </c>
      <c r="K32" s="86">
        <f t="shared" si="14"/>
        <v>2.7101893362350395</v>
      </c>
      <c r="L32" s="86">
        <f t="shared" si="14"/>
        <v>2.1636622222222224</v>
      </c>
      <c r="M32" s="86">
        <f t="shared" si="14"/>
        <v>3.2599999999999971</v>
      </c>
      <c r="N32" s="86">
        <f t="shared" si="14"/>
        <v>4.0266206896551759</v>
      </c>
      <c r="O32" s="86">
        <f t="shared" si="14"/>
        <v>1.4741333333333326</v>
      </c>
      <c r="P32" s="87">
        <f t="shared" si="13"/>
        <v>31.93163143355185</v>
      </c>
    </row>
    <row r="33" spans="1:16" ht="15.75" x14ac:dyDescent="0.25">
      <c r="A33" s="94" t="s">
        <v>42</v>
      </c>
      <c r="B33" s="18"/>
      <c r="C33" s="11" t="s">
        <v>41</v>
      </c>
      <c r="D33" s="10">
        <v>276.93720616643333</v>
      </c>
      <c r="E33" s="10">
        <v>319.05101220717688</v>
      </c>
      <c r="F33" s="10">
        <v>320.37895915570925</v>
      </c>
      <c r="G33" s="10">
        <v>263.75990590685456</v>
      </c>
      <c r="H33" s="10">
        <v>241.5187047776563</v>
      </c>
      <c r="I33" s="10">
        <v>242.4732641469985</v>
      </c>
      <c r="J33" s="10">
        <v>246.46002937669221</v>
      </c>
      <c r="K33" s="10">
        <v>267.75772660199004</v>
      </c>
      <c r="L33" s="10">
        <v>307.94833998392585</v>
      </c>
      <c r="M33" s="10">
        <v>283.64244447018757</v>
      </c>
      <c r="N33" s="10">
        <v>227.02876028246948</v>
      </c>
      <c r="O33" s="10">
        <v>239.77971927374614</v>
      </c>
      <c r="P33" s="87">
        <f t="shared" si="13"/>
        <v>3236.73607234984</v>
      </c>
    </row>
    <row r="34" spans="1:16" ht="15.75" x14ac:dyDescent="0.25">
      <c r="A34" s="11" t="s">
        <v>37</v>
      </c>
      <c r="B34" s="18"/>
      <c r="C34" s="11" t="s">
        <v>43</v>
      </c>
      <c r="D34" s="86">
        <f>D33*$B$40*10000*(1/1000)*(1/1000000)</f>
        <v>116.31362658990201</v>
      </c>
      <c r="E34" s="86">
        <f t="shared" ref="E34:O34" si="15">E33*$B$40*10000*(1/1000)*(1/1000000)</f>
        <v>134.0014251270143</v>
      </c>
      <c r="F34" s="86">
        <f t="shared" si="15"/>
        <v>134.55916284539788</v>
      </c>
      <c r="G34" s="86">
        <f t="shared" si="15"/>
        <v>110.7791604808789</v>
      </c>
      <c r="H34" s="86">
        <f t="shared" si="15"/>
        <v>101.43785600661565</v>
      </c>
      <c r="I34" s="86">
        <f t="shared" si="15"/>
        <v>101.83877094173937</v>
      </c>
      <c r="J34" s="86">
        <f t="shared" si="15"/>
        <v>103.51321233821072</v>
      </c>
      <c r="K34" s="86">
        <f t="shared" si="15"/>
        <v>112.4582451728358</v>
      </c>
      <c r="L34" s="86">
        <f t="shared" si="15"/>
        <v>129.33830279324886</v>
      </c>
      <c r="M34" s="86">
        <f t="shared" si="15"/>
        <v>119.12982667747877</v>
      </c>
      <c r="N34" s="86">
        <f t="shared" si="15"/>
        <v>95.352079318637166</v>
      </c>
      <c r="O34" s="86">
        <f t="shared" si="15"/>
        <v>100.70748209497339</v>
      </c>
      <c r="P34" s="87">
        <f t="shared" si="13"/>
        <v>1359.4291503869329</v>
      </c>
    </row>
    <row r="35" spans="1:16" ht="15.75" x14ac:dyDescent="0.25">
      <c r="A35" s="11"/>
      <c r="B35" s="18"/>
      <c r="C35" s="11" t="s">
        <v>44</v>
      </c>
      <c r="D35" s="11">
        <v>0.8</v>
      </c>
      <c r="E35" s="11">
        <v>0.8</v>
      </c>
      <c r="F35" s="11">
        <v>0.8</v>
      </c>
      <c r="G35" s="11">
        <v>0.8</v>
      </c>
      <c r="H35" s="11">
        <v>0.8</v>
      </c>
      <c r="I35" s="11">
        <v>0.8</v>
      </c>
      <c r="J35" s="11">
        <v>0.8</v>
      </c>
      <c r="K35" s="11">
        <v>0.8</v>
      </c>
      <c r="L35" s="11">
        <v>0.8</v>
      </c>
      <c r="M35" s="11">
        <v>0.8</v>
      </c>
      <c r="N35" s="11">
        <v>0.8</v>
      </c>
      <c r="O35" s="11">
        <v>0.8</v>
      </c>
      <c r="P35" s="87">
        <f t="shared" si="13"/>
        <v>9.6</v>
      </c>
    </row>
    <row r="36" spans="1:16" ht="15.75" x14ac:dyDescent="0.25">
      <c r="A36" s="11"/>
      <c r="B36" s="18"/>
      <c r="C36" s="11" t="s">
        <v>45</v>
      </c>
      <c r="D36" s="11">
        <v>79.599999999999994</v>
      </c>
      <c r="E36" s="11">
        <v>118.00000000000001</v>
      </c>
      <c r="F36" s="11">
        <v>79.300000000000011</v>
      </c>
      <c r="G36" s="11">
        <v>0</v>
      </c>
      <c r="H36" s="11">
        <v>0</v>
      </c>
      <c r="I36" s="11">
        <v>39.299999999999997</v>
      </c>
      <c r="J36" s="11">
        <v>0</v>
      </c>
      <c r="K36" s="11">
        <v>37.9</v>
      </c>
      <c r="L36" s="11">
        <v>80.300000000000011</v>
      </c>
      <c r="M36" s="11">
        <v>0</v>
      </c>
      <c r="N36" s="11">
        <v>0</v>
      </c>
      <c r="O36" s="11">
        <v>80.400000000000006</v>
      </c>
      <c r="P36" s="87"/>
    </row>
    <row r="37" spans="1:16" ht="15.75" x14ac:dyDescent="0.25">
      <c r="A37" s="11"/>
      <c r="B37" s="18"/>
      <c r="C37" s="11" t="s">
        <v>46</v>
      </c>
      <c r="D37" s="10">
        <f>D36*$B$31*10000*(1/1000)*(1/1000000)</f>
        <v>3.1839999999999997</v>
      </c>
      <c r="E37" s="10">
        <f>E36*$B$31*10000*(1/1000)*(1/1000000)</f>
        <v>4.7200000000000006</v>
      </c>
      <c r="F37" s="10">
        <f t="shared" ref="F37:O37" si="16">F36*$B$31*10000*(1/1000)*(1/1000000)</f>
        <v>3.1720000000000002</v>
      </c>
      <c r="G37" s="10">
        <f t="shared" si="16"/>
        <v>0</v>
      </c>
      <c r="H37" s="10">
        <f t="shared" si="16"/>
        <v>0</v>
      </c>
      <c r="I37" s="10">
        <f t="shared" si="16"/>
        <v>1.5719999999999998</v>
      </c>
      <c r="J37" s="10">
        <f t="shared" si="16"/>
        <v>0</v>
      </c>
      <c r="K37" s="10">
        <f t="shared" si="16"/>
        <v>1.516</v>
      </c>
      <c r="L37" s="10">
        <f t="shared" si="16"/>
        <v>3.2120000000000002</v>
      </c>
      <c r="M37" s="10">
        <f t="shared" si="16"/>
        <v>0</v>
      </c>
      <c r="N37" s="10">
        <f t="shared" si="16"/>
        <v>0</v>
      </c>
      <c r="O37" s="10">
        <f t="shared" si="16"/>
        <v>3.2159999999999997</v>
      </c>
      <c r="P37" s="88">
        <f t="shared" ref="P37:P39" si="17">SUM(D37:O37)</f>
        <v>20.592000000000002</v>
      </c>
    </row>
    <row r="38" spans="1:16" ht="15.75" x14ac:dyDescent="0.25">
      <c r="A38" s="11"/>
      <c r="B38" s="18"/>
      <c r="C38" s="85" t="s">
        <v>67</v>
      </c>
      <c r="D38" s="10">
        <f>D32*0.8</f>
        <v>0.77806532438478748</v>
      </c>
      <c r="E38" s="10">
        <f t="shared" ref="E38:O38" si="18">E32*0.8</f>
        <v>0.44100614657210424</v>
      </c>
      <c r="F38" s="10">
        <f t="shared" si="18"/>
        <v>1.4844728888888898</v>
      </c>
      <c r="G38" s="10">
        <f t="shared" si="18"/>
        <v>4.2491806896551756</v>
      </c>
      <c r="H38" s="10">
        <f t="shared" si="18"/>
        <v>3.5137103448275848</v>
      </c>
      <c r="I38" s="10">
        <f t="shared" si="18"/>
        <v>1.9920956321839087</v>
      </c>
      <c r="J38" s="10">
        <f t="shared" si="18"/>
        <v>2.1790896551724148</v>
      </c>
      <c r="K38" s="10">
        <f t="shared" si="18"/>
        <v>2.1681514689880319</v>
      </c>
      <c r="L38" s="10">
        <f t="shared" si="18"/>
        <v>1.7309297777777779</v>
      </c>
      <c r="M38" s="10">
        <f t="shared" si="18"/>
        <v>2.6079999999999979</v>
      </c>
      <c r="N38" s="10">
        <f t="shared" si="18"/>
        <v>3.2212965517241408</v>
      </c>
      <c r="O38" s="10">
        <f t="shared" si="18"/>
        <v>1.1793066666666661</v>
      </c>
      <c r="P38" s="95">
        <f t="shared" si="17"/>
        <v>25.545305146841478</v>
      </c>
    </row>
    <row r="39" spans="1:16" ht="15.75" x14ac:dyDescent="0.25">
      <c r="A39" s="11"/>
      <c r="B39" s="11"/>
      <c r="C39" s="89" t="s">
        <v>66</v>
      </c>
      <c r="D39" s="96">
        <f>D32*0.3</f>
        <v>0.29177449664429528</v>
      </c>
      <c r="E39" s="96">
        <f t="shared" ref="E39:O39" si="19">E32*0.3</f>
        <v>0.16537730496453906</v>
      </c>
      <c r="F39" s="96">
        <f t="shared" si="19"/>
        <v>0.55667733333333358</v>
      </c>
      <c r="G39" s="96">
        <f t="shared" si="19"/>
        <v>1.593442758620691</v>
      </c>
      <c r="H39" s="96">
        <f t="shared" si="19"/>
        <v>1.3176413793103441</v>
      </c>
      <c r="I39" s="96">
        <f t="shared" si="19"/>
        <v>0.74703586206896566</v>
      </c>
      <c r="J39" s="96">
        <f t="shared" si="19"/>
        <v>0.81715862068965539</v>
      </c>
      <c r="K39" s="96">
        <f t="shared" si="19"/>
        <v>0.8130568008705118</v>
      </c>
      <c r="L39" s="96">
        <f t="shared" si="19"/>
        <v>0.64909866666666671</v>
      </c>
      <c r="M39" s="96">
        <f t="shared" si="19"/>
        <v>0.97799999999999909</v>
      </c>
      <c r="N39" s="96">
        <f t="shared" si="19"/>
        <v>1.2079862068965528</v>
      </c>
      <c r="O39" s="96">
        <f t="shared" si="19"/>
        <v>0.4422399999999998</v>
      </c>
      <c r="P39" s="90">
        <f t="shared" si="17"/>
        <v>9.5794894300655535</v>
      </c>
    </row>
    <row r="40" spans="1:16" ht="15.75" x14ac:dyDescent="0.25">
      <c r="A40" s="75" t="s">
        <v>47</v>
      </c>
      <c r="B40" s="81">
        <v>42000</v>
      </c>
      <c r="C40" s="76" t="s">
        <v>29</v>
      </c>
      <c r="D40" s="80">
        <f>D7</f>
        <v>24.314541387024608</v>
      </c>
      <c r="E40" s="80">
        <f>E7</f>
        <v>13.781442080378255</v>
      </c>
      <c r="F40" s="80">
        <f>F7</f>
        <v>46.389777777777802</v>
      </c>
      <c r="G40" s="80">
        <f>G7</f>
        <v>132.78689655172423</v>
      </c>
      <c r="H40" s="80">
        <f>H7</f>
        <v>109.80344827586202</v>
      </c>
      <c r="I40" s="80">
        <f>I7</f>
        <v>62.25298850574714</v>
      </c>
      <c r="J40" s="80">
        <f>J7</f>
        <v>68.096551724137953</v>
      </c>
      <c r="K40" s="80">
        <f>K7</f>
        <v>67.754733405875982</v>
      </c>
      <c r="L40" s="80">
        <f>L7</f>
        <v>54.091555555555558</v>
      </c>
      <c r="M40" s="80">
        <f>M7</f>
        <v>81.499999999999929</v>
      </c>
      <c r="N40" s="80">
        <f>N7</f>
        <v>100.66551724137939</v>
      </c>
      <c r="O40" s="80">
        <f>O7</f>
        <v>36.853333333333325</v>
      </c>
      <c r="P40" s="79">
        <f t="shared" si="1"/>
        <v>798.29078583879618</v>
      </c>
    </row>
    <row r="41" spans="1:16" ht="15.75" x14ac:dyDescent="0.25">
      <c r="A41" s="115" t="s">
        <v>48</v>
      </c>
      <c r="B41" s="81"/>
      <c r="C41" s="76" t="s">
        <v>30</v>
      </c>
      <c r="D41" s="78">
        <f>D40*$B$40*10000*(1/1000)*(1/1000000)</f>
        <v>10.212107382550334</v>
      </c>
      <c r="E41" s="78">
        <f t="shared" ref="E41:O41" si="20">E40*$B$40*10000*(1/1000)*(1/1000000)</f>
        <v>5.788205673758867</v>
      </c>
      <c r="F41" s="78">
        <f t="shared" si="20"/>
        <v>19.483706666666674</v>
      </c>
      <c r="G41" s="78">
        <f t="shared" si="20"/>
        <v>55.770496551724179</v>
      </c>
      <c r="H41" s="78">
        <f t="shared" si="20"/>
        <v>46.117448275862046</v>
      </c>
      <c r="I41" s="78">
        <f t="shared" si="20"/>
        <v>26.146255172413795</v>
      </c>
      <c r="J41" s="78">
        <f t="shared" si="20"/>
        <v>28.600551724137937</v>
      </c>
      <c r="K41" s="78">
        <f t="shared" si="20"/>
        <v>28.456988030467915</v>
      </c>
      <c r="L41" s="78">
        <f t="shared" si="20"/>
        <v>22.718453333333336</v>
      </c>
      <c r="M41" s="78">
        <f t="shared" si="20"/>
        <v>34.229999999999976</v>
      </c>
      <c r="N41" s="78">
        <f t="shared" si="20"/>
        <v>42.279517241379345</v>
      </c>
      <c r="O41" s="78">
        <f t="shared" si="20"/>
        <v>15.478399999999995</v>
      </c>
      <c r="P41" s="79">
        <f t="shared" si="1"/>
        <v>335.28213005229441</v>
      </c>
    </row>
    <row r="42" spans="1:16" ht="15.75" x14ac:dyDescent="0.25">
      <c r="A42" s="115" t="s">
        <v>40</v>
      </c>
      <c r="B42" s="81"/>
      <c r="C42" s="76" t="s">
        <v>41</v>
      </c>
      <c r="D42" s="80">
        <v>276.93720616643333</v>
      </c>
      <c r="E42" s="80">
        <v>319.05101220717688</v>
      </c>
      <c r="F42" s="80">
        <v>320.37895915570925</v>
      </c>
      <c r="G42" s="80">
        <v>263.75990590685456</v>
      </c>
      <c r="H42" s="80">
        <v>241.5187047776563</v>
      </c>
      <c r="I42" s="80">
        <v>242.4732641469985</v>
      </c>
      <c r="J42" s="80">
        <v>246.46002937669221</v>
      </c>
      <c r="K42" s="80">
        <v>267.75772660199004</v>
      </c>
      <c r="L42" s="80">
        <v>307.94833998392585</v>
      </c>
      <c r="M42" s="80">
        <v>283.64244447018757</v>
      </c>
      <c r="N42" s="80">
        <v>227.02876028246948</v>
      </c>
      <c r="O42" s="80">
        <v>239.77971927374614</v>
      </c>
      <c r="P42" s="79">
        <f t="shared" si="1"/>
        <v>3236.73607234984</v>
      </c>
    </row>
    <row r="43" spans="1:16" ht="15.75" x14ac:dyDescent="0.25">
      <c r="A43" s="115" t="s">
        <v>49</v>
      </c>
      <c r="B43" s="81"/>
      <c r="C43" s="76" t="s">
        <v>43</v>
      </c>
      <c r="D43" s="78">
        <f>D42*$B$40*10000*(1/1000)*(1/1000000)</f>
        <v>116.31362658990201</v>
      </c>
      <c r="E43" s="78">
        <f t="shared" ref="E43:O43" si="21">E42*$B$40*10000*(1/1000)*(1/1000000)</f>
        <v>134.0014251270143</v>
      </c>
      <c r="F43" s="78">
        <f t="shared" si="21"/>
        <v>134.55916284539788</v>
      </c>
      <c r="G43" s="78">
        <f t="shared" si="21"/>
        <v>110.7791604808789</v>
      </c>
      <c r="H43" s="78">
        <f t="shared" si="21"/>
        <v>101.43785600661565</v>
      </c>
      <c r="I43" s="78">
        <f t="shared" si="21"/>
        <v>101.83877094173937</v>
      </c>
      <c r="J43" s="78">
        <f t="shared" si="21"/>
        <v>103.51321233821072</v>
      </c>
      <c r="K43" s="78">
        <f t="shared" si="21"/>
        <v>112.4582451728358</v>
      </c>
      <c r="L43" s="78">
        <f t="shared" si="21"/>
        <v>129.33830279324886</v>
      </c>
      <c r="M43" s="78">
        <f t="shared" si="21"/>
        <v>119.12982667747877</v>
      </c>
      <c r="N43" s="78">
        <f t="shared" si="21"/>
        <v>95.352079318637166</v>
      </c>
      <c r="O43" s="78">
        <f t="shared" si="21"/>
        <v>100.70748209497339</v>
      </c>
      <c r="P43" s="79">
        <f t="shared" si="1"/>
        <v>1359.4291503869329</v>
      </c>
    </row>
    <row r="44" spans="1:16" ht="15.75" x14ac:dyDescent="0.25">
      <c r="A44" s="76" t="s">
        <v>37</v>
      </c>
      <c r="B44" s="81"/>
      <c r="C44" s="76" t="s">
        <v>44</v>
      </c>
      <c r="D44" s="76">
        <v>0.6</v>
      </c>
      <c r="E44" s="76">
        <v>0.6</v>
      </c>
      <c r="F44" s="76">
        <v>0.6</v>
      </c>
      <c r="G44" s="76">
        <v>0.6</v>
      </c>
      <c r="H44" s="76">
        <v>0.6</v>
      </c>
      <c r="I44" s="76">
        <v>0.6</v>
      </c>
      <c r="J44" s="76">
        <v>0.6</v>
      </c>
      <c r="K44" s="76">
        <v>0.6</v>
      </c>
      <c r="L44" s="76">
        <v>0.6</v>
      </c>
      <c r="M44" s="76">
        <v>0.6</v>
      </c>
      <c r="N44" s="76">
        <v>0.6</v>
      </c>
      <c r="O44" s="76">
        <v>0.6</v>
      </c>
      <c r="P44" s="79">
        <f t="shared" si="1"/>
        <v>7.1999999999999984</v>
      </c>
    </row>
    <row r="45" spans="1:16" ht="15.75" x14ac:dyDescent="0.25">
      <c r="A45" s="76"/>
      <c r="B45" s="81"/>
      <c r="C45" s="76" t="s">
        <v>45</v>
      </c>
      <c r="D45" s="76">
        <v>79.599999999999994</v>
      </c>
      <c r="E45" s="76">
        <v>118.00000000000001</v>
      </c>
      <c r="F45" s="76">
        <v>79.300000000000011</v>
      </c>
      <c r="G45" s="76">
        <v>0</v>
      </c>
      <c r="H45" s="76">
        <v>0</v>
      </c>
      <c r="I45" s="76">
        <v>39.299999999999997</v>
      </c>
      <c r="J45" s="76">
        <v>0</v>
      </c>
      <c r="K45" s="76">
        <v>37.9</v>
      </c>
      <c r="L45" s="76">
        <v>80.300000000000011</v>
      </c>
      <c r="M45" s="76">
        <v>0</v>
      </c>
      <c r="N45" s="76">
        <v>0</v>
      </c>
      <c r="O45" s="76">
        <v>80.400000000000006</v>
      </c>
      <c r="P45" s="79"/>
    </row>
    <row r="46" spans="1:16" ht="15.75" x14ac:dyDescent="0.25">
      <c r="A46" s="76"/>
      <c r="B46" s="81"/>
      <c r="C46" s="76" t="s">
        <v>46</v>
      </c>
      <c r="D46" s="80">
        <f>D45*$B$40*10000*(1/1000)*(1/1000000)</f>
        <v>33.431999999999995</v>
      </c>
      <c r="E46" s="80">
        <f t="shared" ref="E46:O46" si="22">E45*$B$40*10000*(1/1000)*(1/1000000)</f>
        <v>49.56</v>
      </c>
      <c r="F46" s="80">
        <f t="shared" si="22"/>
        <v>33.306000000000004</v>
      </c>
      <c r="G46" s="80">
        <f t="shared" si="22"/>
        <v>0</v>
      </c>
      <c r="H46" s="80">
        <f t="shared" si="22"/>
        <v>0</v>
      </c>
      <c r="I46" s="80">
        <f t="shared" si="22"/>
        <v>16.505999999999997</v>
      </c>
      <c r="J46" s="80">
        <f t="shared" si="22"/>
        <v>0</v>
      </c>
      <c r="K46" s="80">
        <f t="shared" si="22"/>
        <v>15.917999999999999</v>
      </c>
      <c r="L46" s="80">
        <f t="shared" si="22"/>
        <v>33.726000000000006</v>
      </c>
      <c r="M46" s="80">
        <f t="shared" si="22"/>
        <v>0</v>
      </c>
      <c r="N46" s="80">
        <f t="shared" si="22"/>
        <v>0</v>
      </c>
      <c r="O46" s="80">
        <f t="shared" si="22"/>
        <v>33.768000000000008</v>
      </c>
      <c r="P46" s="82">
        <f t="shared" si="1"/>
        <v>216.21600000000001</v>
      </c>
    </row>
    <row r="47" spans="1:16" ht="15.75" x14ac:dyDescent="0.25">
      <c r="A47" s="76"/>
      <c r="B47" s="81"/>
      <c r="C47" s="77" t="s">
        <v>67</v>
      </c>
      <c r="D47" s="80">
        <f>D41*0.8</f>
        <v>8.169685906040268</v>
      </c>
      <c r="E47" s="80">
        <f t="shared" ref="E47:O47" si="23">E41*0.8</f>
        <v>4.6305645390070937</v>
      </c>
      <c r="F47" s="80">
        <f t="shared" si="23"/>
        <v>15.586965333333339</v>
      </c>
      <c r="G47" s="80">
        <f t="shared" si="23"/>
        <v>44.616397241379346</v>
      </c>
      <c r="H47" s="80">
        <f t="shared" si="23"/>
        <v>36.893958620689638</v>
      </c>
      <c r="I47" s="80">
        <f>I41*0.8</f>
        <v>20.917004137931038</v>
      </c>
      <c r="J47" s="80">
        <f t="shared" si="23"/>
        <v>22.880441379310351</v>
      </c>
      <c r="K47" s="80">
        <f t="shared" si="23"/>
        <v>22.765590424374334</v>
      </c>
      <c r="L47" s="80">
        <f t="shared" si="23"/>
        <v>18.17476266666667</v>
      </c>
      <c r="M47" s="80">
        <f t="shared" si="23"/>
        <v>27.383999999999983</v>
      </c>
      <c r="N47" s="80">
        <f t="shared" si="23"/>
        <v>33.823613793103476</v>
      </c>
      <c r="O47" s="80">
        <f t="shared" si="23"/>
        <v>12.382719999999997</v>
      </c>
      <c r="P47" s="116">
        <f t="shared" si="1"/>
        <v>268.22570404183551</v>
      </c>
    </row>
    <row r="48" spans="1:16" ht="15.75" x14ac:dyDescent="0.25">
      <c r="A48" s="76"/>
      <c r="B48" s="76"/>
      <c r="C48" s="83" t="s">
        <v>66</v>
      </c>
      <c r="D48" s="117">
        <f>D40*0.2</f>
        <v>4.8629082774049222</v>
      </c>
      <c r="E48" s="117">
        <f t="shared" ref="E48:O48" si="24">E40*0.2</f>
        <v>2.7562884160756513</v>
      </c>
      <c r="F48" s="117">
        <f t="shared" si="24"/>
        <v>9.2779555555555611</v>
      </c>
      <c r="G48" s="117">
        <f t="shared" si="24"/>
        <v>26.557379310344846</v>
      </c>
      <c r="H48" s="117">
        <f t="shared" si="24"/>
        <v>21.960689655172406</v>
      </c>
      <c r="I48" s="117">
        <f t="shared" si="24"/>
        <v>12.450597701149428</v>
      </c>
      <c r="J48" s="117">
        <f t="shared" si="24"/>
        <v>13.619310344827591</v>
      </c>
      <c r="K48" s="117">
        <f t="shared" si="24"/>
        <v>13.550946681175198</v>
      </c>
      <c r="L48" s="117">
        <f t="shared" si="24"/>
        <v>10.818311111111113</v>
      </c>
      <c r="M48" s="117">
        <f t="shared" si="24"/>
        <v>16.299999999999986</v>
      </c>
      <c r="N48" s="117">
        <f t="shared" si="24"/>
        <v>20.133103448275879</v>
      </c>
      <c r="O48" s="117">
        <f t="shared" si="24"/>
        <v>7.3706666666666649</v>
      </c>
      <c r="P48" s="118">
        <f t="shared" si="1"/>
        <v>159.65815716775924</v>
      </c>
    </row>
    <row r="49" spans="1:16" ht="15.75" x14ac:dyDescent="0.25">
      <c r="A49" s="2" t="s">
        <v>50</v>
      </c>
      <c r="B49" s="66">
        <v>624</v>
      </c>
      <c r="C49" s="3" t="s">
        <v>29</v>
      </c>
      <c r="D49" s="67">
        <f>D7</f>
        <v>24.314541387024608</v>
      </c>
      <c r="E49" s="67">
        <f>E7</f>
        <v>13.781442080378255</v>
      </c>
      <c r="F49" s="67">
        <f>F7</f>
        <v>46.389777777777802</v>
      </c>
      <c r="G49" s="67">
        <f>G7</f>
        <v>132.78689655172423</v>
      </c>
      <c r="H49" s="67">
        <f>H7</f>
        <v>109.80344827586202</v>
      </c>
      <c r="I49" s="67">
        <f>I7</f>
        <v>62.25298850574714</v>
      </c>
      <c r="J49" s="67">
        <f>J7</f>
        <v>68.096551724137953</v>
      </c>
      <c r="K49" s="67">
        <f>K7</f>
        <v>67.754733405875982</v>
      </c>
      <c r="L49" s="67">
        <f>L7</f>
        <v>54.091555555555558</v>
      </c>
      <c r="M49" s="67">
        <f>M7</f>
        <v>81.499999999999929</v>
      </c>
      <c r="N49" s="67">
        <f>N7</f>
        <v>100.66551724137939</v>
      </c>
      <c r="O49" s="67">
        <f>O7</f>
        <v>36.853333333333325</v>
      </c>
      <c r="P49" s="68">
        <f t="shared" si="1"/>
        <v>798.29078583879618</v>
      </c>
    </row>
    <row r="50" spans="1:16" ht="15.75" x14ac:dyDescent="0.25">
      <c r="A50" s="3" t="s">
        <v>71</v>
      </c>
      <c r="B50" s="66"/>
      <c r="C50" s="3" t="s">
        <v>30</v>
      </c>
      <c r="D50" s="69">
        <f>D49*$B$49*10000*(1/1000)*(1/1000000)</f>
        <v>0.15172273825503355</v>
      </c>
      <c r="E50" s="69">
        <f t="shared" ref="E50:O50" si="25">E49*$B$49*10000*(1/1000)*(1/1000000)</f>
        <v>8.599619858156031E-2</v>
      </c>
      <c r="F50" s="69">
        <f t="shared" si="25"/>
        <v>0.28947221333333351</v>
      </c>
      <c r="G50" s="69">
        <f t="shared" si="25"/>
        <v>0.82859023448275915</v>
      </c>
      <c r="H50" s="69">
        <f t="shared" si="25"/>
        <v>0.68517351724137898</v>
      </c>
      <c r="I50" s="69">
        <f t="shared" si="25"/>
        <v>0.38845864827586213</v>
      </c>
      <c r="J50" s="69">
        <f t="shared" si="25"/>
        <v>0.42492248275862077</v>
      </c>
      <c r="K50" s="69">
        <f t="shared" si="25"/>
        <v>0.42278953645266615</v>
      </c>
      <c r="L50" s="69">
        <f t="shared" si="25"/>
        <v>0.3375313066666667</v>
      </c>
      <c r="M50" s="69">
        <f t="shared" si="25"/>
        <v>0.50855999999999957</v>
      </c>
      <c r="N50" s="69">
        <f t="shared" si="25"/>
        <v>0.62815282758620739</v>
      </c>
      <c r="O50" s="69">
        <f t="shared" si="25"/>
        <v>0.22996479999999997</v>
      </c>
      <c r="P50" s="68">
        <f t="shared" si="1"/>
        <v>4.9813345036340886</v>
      </c>
    </row>
    <row r="51" spans="1:16" ht="15.75" x14ac:dyDescent="0.25">
      <c r="A51" s="3" t="s">
        <v>51</v>
      </c>
      <c r="B51" s="66"/>
      <c r="C51" s="3" t="s">
        <v>76</v>
      </c>
      <c r="D51" s="67">
        <v>31</v>
      </c>
      <c r="E51" s="67">
        <v>28</v>
      </c>
      <c r="F51" s="67">
        <v>31</v>
      </c>
      <c r="G51" s="67">
        <v>30</v>
      </c>
      <c r="H51" s="67">
        <v>31</v>
      </c>
      <c r="I51" s="67">
        <v>30</v>
      </c>
      <c r="J51" s="67">
        <v>31</v>
      </c>
      <c r="K51" s="67">
        <v>31</v>
      </c>
      <c r="L51" s="67">
        <v>30</v>
      </c>
      <c r="M51" s="67">
        <v>31</v>
      </c>
      <c r="N51" s="67">
        <v>30</v>
      </c>
      <c r="O51" s="67">
        <v>31</v>
      </c>
      <c r="P51" s="68">
        <v>13</v>
      </c>
    </row>
    <row r="52" spans="1:16" ht="15.75" x14ac:dyDescent="0.25">
      <c r="A52" s="3" t="s">
        <v>52</v>
      </c>
      <c r="B52" s="66"/>
      <c r="C52" s="3" t="s">
        <v>44</v>
      </c>
      <c r="D52" s="69">
        <v>0.81</v>
      </c>
      <c r="E52" s="69">
        <v>0.81</v>
      </c>
      <c r="F52" s="69">
        <v>0.81</v>
      </c>
      <c r="G52" s="69">
        <v>0.81</v>
      </c>
      <c r="H52" s="69">
        <v>0.81</v>
      </c>
      <c r="I52" s="69">
        <v>0.81</v>
      </c>
      <c r="J52" s="69">
        <v>0.81</v>
      </c>
      <c r="K52" s="69">
        <v>0.81</v>
      </c>
      <c r="L52" s="69">
        <v>0.81</v>
      </c>
      <c r="M52" s="69">
        <v>0.81</v>
      </c>
      <c r="N52" s="69">
        <v>0.81</v>
      </c>
      <c r="O52" s="69">
        <v>0.81</v>
      </c>
      <c r="P52" s="70"/>
    </row>
    <row r="53" spans="1:16" ht="15.75" x14ac:dyDescent="0.25">
      <c r="A53" s="3" t="s">
        <v>37</v>
      </c>
      <c r="B53" s="66"/>
      <c r="C53" s="3" t="s">
        <v>53</v>
      </c>
      <c r="D53" s="69">
        <f>D54*D56</f>
        <v>83.018000000000001</v>
      </c>
      <c r="E53" s="69">
        <f t="shared" ref="E53:O53" si="26">E54*E56</f>
        <v>83.174000000000007</v>
      </c>
      <c r="F53" s="69">
        <f t="shared" si="26"/>
        <v>84.428500000000014</v>
      </c>
      <c r="G53" s="69">
        <f t="shared" si="26"/>
        <v>66.885000000000005</v>
      </c>
      <c r="H53" s="69">
        <f t="shared" si="26"/>
        <v>65.890500000000003</v>
      </c>
      <c r="I53" s="69">
        <f t="shared" si="26"/>
        <v>65.52</v>
      </c>
      <c r="J53" s="69">
        <f t="shared" si="26"/>
        <v>65.286000000000016</v>
      </c>
      <c r="K53" s="69">
        <f t="shared" si="26"/>
        <v>56.621500000000005</v>
      </c>
      <c r="L53" s="69">
        <f t="shared" si="26"/>
        <v>73.515000000000001</v>
      </c>
      <c r="M53" s="69">
        <f t="shared" si="26"/>
        <v>71.935500000000005</v>
      </c>
      <c r="N53" s="69">
        <f t="shared" si="26"/>
        <v>59.475000000000001</v>
      </c>
      <c r="O53" s="69">
        <f t="shared" si="26"/>
        <v>68.509999999999991</v>
      </c>
      <c r="P53" s="70">
        <f>SUM(D53:O53)</f>
        <v>844.25900000000013</v>
      </c>
    </row>
    <row r="54" spans="1:16" ht="15.75" x14ac:dyDescent="0.25">
      <c r="A54" s="71"/>
      <c r="B54" s="66"/>
      <c r="C54" s="3" t="s">
        <v>41</v>
      </c>
      <c r="D54" s="3">
        <v>127.72</v>
      </c>
      <c r="E54" s="3">
        <v>127.96000000000001</v>
      </c>
      <c r="F54" s="3">
        <v>129.89000000000001</v>
      </c>
      <c r="G54" s="3">
        <v>102.9</v>
      </c>
      <c r="H54" s="3">
        <v>101.37</v>
      </c>
      <c r="I54" s="3">
        <v>100.8</v>
      </c>
      <c r="J54" s="3">
        <v>100.44000000000001</v>
      </c>
      <c r="K54" s="3">
        <v>87.11</v>
      </c>
      <c r="L54" s="3">
        <v>113.1</v>
      </c>
      <c r="M54" s="3">
        <v>110.67</v>
      </c>
      <c r="N54" s="3">
        <v>91.5</v>
      </c>
      <c r="O54" s="3">
        <v>105.39999999999999</v>
      </c>
      <c r="P54" s="68">
        <f t="shared" ref="P54:P61" si="27">SUM(D54:O54)</f>
        <v>1298.8600000000001</v>
      </c>
    </row>
    <row r="55" spans="1:16" ht="15.75" x14ac:dyDescent="0.25">
      <c r="A55" s="71"/>
      <c r="B55" s="66"/>
      <c r="C55" s="3" t="s">
        <v>43</v>
      </c>
      <c r="D55" s="69">
        <f>D54*$B$49*10000*(1/1000)*(1/1000000)</f>
        <v>0.79697280000000004</v>
      </c>
      <c r="E55" s="69">
        <f t="shared" ref="E55:O55" si="28">E54*$B$49*10000*(1/1000)*(1/1000000)</f>
        <v>0.79847040000000014</v>
      </c>
      <c r="F55" s="69">
        <f t="shared" si="28"/>
        <v>0.81051360000000006</v>
      </c>
      <c r="G55" s="69">
        <f t="shared" si="28"/>
        <v>0.642096</v>
      </c>
      <c r="H55" s="69">
        <f t="shared" si="28"/>
        <v>0.63254880000000002</v>
      </c>
      <c r="I55" s="69">
        <f t="shared" si="28"/>
        <v>0.628992</v>
      </c>
      <c r="J55" s="69">
        <f t="shared" si="28"/>
        <v>0.6267455999999999</v>
      </c>
      <c r="K55" s="69">
        <f t="shared" si="28"/>
        <v>0.54356640000000001</v>
      </c>
      <c r="L55" s="69">
        <f t="shared" si="28"/>
        <v>0.70574399999999993</v>
      </c>
      <c r="M55" s="69">
        <f t="shared" si="28"/>
        <v>0.69058079999999999</v>
      </c>
      <c r="N55" s="69">
        <f t="shared" si="28"/>
        <v>0.57096000000000002</v>
      </c>
      <c r="O55" s="69">
        <f t="shared" si="28"/>
        <v>0.65769599999999984</v>
      </c>
      <c r="P55" s="68">
        <f t="shared" si="27"/>
        <v>8.1048864000000016</v>
      </c>
    </row>
    <row r="56" spans="1:16" ht="15.75" x14ac:dyDescent="0.25">
      <c r="A56" s="3"/>
      <c r="B56" s="66"/>
      <c r="C56" s="3" t="s">
        <v>54</v>
      </c>
      <c r="D56" s="3">
        <v>0.65</v>
      </c>
      <c r="E56" s="3">
        <v>0.65</v>
      </c>
      <c r="F56" s="3">
        <v>0.65</v>
      </c>
      <c r="G56" s="3">
        <v>0.65</v>
      </c>
      <c r="H56" s="3">
        <v>0.65</v>
      </c>
      <c r="I56" s="3">
        <v>0.65</v>
      </c>
      <c r="J56" s="3">
        <v>0.65</v>
      </c>
      <c r="K56" s="3">
        <v>0.65</v>
      </c>
      <c r="L56" s="3">
        <v>0.65</v>
      </c>
      <c r="M56" s="3">
        <v>0.65</v>
      </c>
      <c r="N56" s="3">
        <v>0.65</v>
      </c>
      <c r="O56" s="3">
        <v>0.65</v>
      </c>
      <c r="P56" s="68">
        <f t="shared" si="27"/>
        <v>7.8000000000000016</v>
      </c>
    </row>
    <row r="57" spans="1:16" ht="15.75" x14ac:dyDescent="0.25">
      <c r="A57" s="3"/>
      <c r="B57" s="66"/>
      <c r="C57" s="3" t="s">
        <v>46</v>
      </c>
      <c r="D57" s="69">
        <f>D55*D56*D52</f>
        <v>0.41960617920000004</v>
      </c>
      <c r="E57" s="69">
        <f t="shared" ref="E57:O57" si="29">E55*E56*E52</f>
        <v>0.42039466560000011</v>
      </c>
      <c r="F57" s="69">
        <f t="shared" si="29"/>
        <v>0.42673541040000013</v>
      </c>
      <c r="G57" s="69">
        <f t="shared" si="29"/>
        <v>0.33806354400000005</v>
      </c>
      <c r="H57" s="69">
        <f t="shared" si="29"/>
        <v>0.33303694320000005</v>
      </c>
      <c r="I57" s="69">
        <f t="shared" si="29"/>
        <v>0.33116428800000003</v>
      </c>
      <c r="J57" s="69">
        <f t="shared" si="29"/>
        <v>0.32998155839999999</v>
      </c>
      <c r="K57" s="69">
        <f t="shared" si="29"/>
        <v>0.28618770960000001</v>
      </c>
      <c r="L57" s="69">
        <f t="shared" si="29"/>
        <v>0.37157421600000001</v>
      </c>
      <c r="M57" s="69">
        <f t="shared" si="29"/>
        <v>0.36359079120000004</v>
      </c>
      <c r="N57" s="69">
        <f t="shared" si="29"/>
        <v>0.30061044000000003</v>
      </c>
      <c r="O57" s="69">
        <f t="shared" si="29"/>
        <v>0.34627694399999992</v>
      </c>
      <c r="P57" s="141">
        <f t="shared" si="27"/>
        <v>4.2672226895999996</v>
      </c>
    </row>
    <row r="58" spans="1:16" ht="15.75" x14ac:dyDescent="0.25">
      <c r="A58" s="3"/>
      <c r="B58" s="3"/>
      <c r="C58" s="72" t="s">
        <v>66</v>
      </c>
      <c r="D58" s="73">
        <f>D49*0.1*$B$49*10000*(1/1000)*(1/1000000)</f>
        <v>1.5172273825503355E-2</v>
      </c>
      <c r="E58" s="73">
        <f t="shared" ref="E58:O58" si="30">E49*0.1*$B$49*10000*(1/1000)*(1/1000000)</f>
        <v>8.5996198581560334E-3</v>
      </c>
      <c r="F58" s="73">
        <f t="shared" si="30"/>
        <v>2.8947221333333353E-2</v>
      </c>
      <c r="G58" s="73">
        <f t="shared" si="30"/>
        <v>8.2859023448275906E-2</v>
      </c>
      <c r="H58" s="73">
        <f t="shared" si="30"/>
        <v>6.8517351724137893E-2</v>
      </c>
      <c r="I58" s="73">
        <f t="shared" si="30"/>
        <v>3.8845864827586223E-2</v>
      </c>
      <c r="J58" s="73">
        <f t="shared" si="30"/>
        <v>4.249224827586208E-2</v>
      </c>
      <c r="K58" s="73">
        <f t="shared" si="30"/>
        <v>4.2278953645266619E-2</v>
      </c>
      <c r="L58" s="73">
        <f t="shared" si="30"/>
        <v>3.3753130666666672E-2</v>
      </c>
      <c r="M58" s="73">
        <f t="shared" si="30"/>
        <v>5.0855999999999957E-2</v>
      </c>
      <c r="N58" s="73">
        <f t="shared" si="30"/>
        <v>6.2815282758620736E-2</v>
      </c>
      <c r="O58" s="73">
        <f t="shared" si="30"/>
        <v>2.2996479999999993E-2</v>
      </c>
      <c r="P58" s="74">
        <f t="shared" si="27"/>
        <v>0.49813345036340884</v>
      </c>
    </row>
    <row r="59" spans="1:16" ht="15.75" x14ac:dyDescent="0.25">
      <c r="A59" s="119" t="s">
        <v>56</v>
      </c>
      <c r="B59" s="120">
        <v>218</v>
      </c>
      <c r="C59" s="127" t="s">
        <v>29</v>
      </c>
      <c r="D59" s="125">
        <f>D7</f>
        <v>24.314541387024608</v>
      </c>
      <c r="E59" s="125">
        <f>E7</f>
        <v>13.781442080378255</v>
      </c>
      <c r="F59" s="125">
        <f>F7</f>
        <v>46.389777777777802</v>
      </c>
      <c r="G59" s="125">
        <f>G7</f>
        <v>132.78689655172423</v>
      </c>
      <c r="H59" s="125">
        <f>H7</f>
        <v>109.80344827586202</v>
      </c>
      <c r="I59" s="125">
        <f>I7</f>
        <v>62.25298850574714</v>
      </c>
      <c r="J59" s="125">
        <f>J7</f>
        <v>68.096551724137953</v>
      </c>
      <c r="K59" s="125">
        <f>K7</f>
        <v>67.754733405875982</v>
      </c>
      <c r="L59" s="125">
        <f>L7</f>
        <v>54.091555555555558</v>
      </c>
      <c r="M59" s="125">
        <f>M7</f>
        <v>81.499999999999929</v>
      </c>
      <c r="N59" s="125">
        <f>N7</f>
        <v>100.66551724137939</v>
      </c>
      <c r="O59" s="125">
        <f>O7</f>
        <v>36.853333333333325</v>
      </c>
      <c r="P59" s="126"/>
    </row>
    <row r="60" spans="1:16" ht="15.75" x14ac:dyDescent="0.25">
      <c r="A60" s="129" t="s">
        <v>37</v>
      </c>
      <c r="B60" s="128"/>
      <c r="C60" s="127" t="s">
        <v>57</v>
      </c>
      <c r="D60" s="124">
        <f>D59*$B$59*10000*(1/1000)*(1/1000000)</f>
        <v>5.3005700223713655E-2</v>
      </c>
      <c r="E60" s="124">
        <f>E59*$B$59*10000*(1/1000)*(1/1000000)</f>
        <v>3.0043543735224595E-2</v>
      </c>
      <c r="F60" s="124">
        <f>F59*$B$59*10000*(1/1000)*(1/1000000)</f>
        <v>0.10112971555555561</v>
      </c>
      <c r="G60" s="124">
        <f>G59*$B$59*10000*(1/1000)*(1/1000000)</f>
        <v>0.28947543448275881</v>
      </c>
      <c r="H60" s="124">
        <f>H59*$B$59*10000*(1/1000)*(1/1000000)</f>
        <v>0.23937151724137923</v>
      </c>
      <c r="I60" s="124">
        <f>I59*$B$59*10000*(1/1000)*(1/1000000)</f>
        <v>0.13571151494252878</v>
      </c>
      <c r="J60" s="124">
        <f>J59*$B$59*10000*(1/1000)*(1/1000000)</f>
        <v>0.14845048275862074</v>
      </c>
      <c r="K60" s="124">
        <f>K59*$B$59*10000*(1/1000)*(1/1000000)</f>
        <v>0.14770531882480964</v>
      </c>
      <c r="L60" s="124">
        <f>L59*$B$59*10000*(1/1000)*(1/1000000)</f>
        <v>0.11791959111111111</v>
      </c>
      <c r="M60" s="124">
        <f>M59*$B$59*10000*(1/1000)*(1/1000000)</f>
        <v>0.17766999999999986</v>
      </c>
      <c r="N60" s="124">
        <f>N59*$B$59*10000*(1/1000)*(1/1000000)</f>
        <v>0.2194508275862071</v>
      </c>
      <c r="O60" s="124">
        <f>O59*$B$59*10000*(1/1000)*(1/1000000)</f>
        <v>8.0340266666666646E-2</v>
      </c>
      <c r="P60" s="126">
        <f>SUM(D60:O60)</f>
        <v>1.7402739131285754</v>
      </c>
    </row>
    <row r="61" spans="1:16" ht="15.75" x14ac:dyDescent="0.25">
      <c r="A61" s="121"/>
      <c r="B61" s="128"/>
      <c r="C61" s="121" t="s">
        <v>41</v>
      </c>
      <c r="D61" s="121">
        <v>127.72</v>
      </c>
      <c r="E61" s="121">
        <v>127.96000000000001</v>
      </c>
      <c r="F61" s="121">
        <v>129.89000000000001</v>
      </c>
      <c r="G61" s="121">
        <v>102.9</v>
      </c>
      <c r="H61" s="121">
        <v>101.37</v>
      </c>
      <c r="I61" s="121">
        <v>100.8</v>
      </c>
      <c r="J61" s="121">
        <v>100.44000000000001</v>
      </c>
      <c r="K61" s="121">
        <v>87.11</v>
      </c>
      <c r="L61" s="121">
        <v>113.1</v>
      </c>
      <c r="M61" s="121">
        <v>110.67</v>
      </c>
      <c r="N61" s="121">
        <v>91.5</v>
      </c>
      <c r="O61" s="121">
        <v>105.39999999999999</v>
      </c>
      <c r="P61" s="123">
        <f t="shared" si="27"/>
        <v>1298.8600000000001</v>
      </c>
    </row>
    <row r="62" spans="1:16" ht="15.75" x14ac:dyDescent="0.25">
      <c r="A62" s="119"/>
      <c r="B62" s="128"/>
      <c r="C62" s="121" t="s">
        <v>43</v>
      </c>
      <c r="D62" s="122">
        <f>D61*$B$59*10000*(1/1000)*(1/1000000)</f>
        <v>0.27842959999999994</v>
      </c>
      <c r="E62" s="122">
        <f>E61*$B$59*10000*(1/1000)*(1/1000000)</f>
        <v>0.2789528</v>
      </c>
      <c r="F62" s="122">
        <f>F61*$B$59*10000*(1/1000)*(1/1000000)</f>
        <v>0.28316020000000008</v>
      </c>
      <c r="G62" s="122">
        <f>G61*$B$59*10000*(1/1000)*(1/1000000)</f>
        <v>0.22432199999999999</v>
      </c>
      <c r="H62" s="122">
        <f>H61*$B$59*10000*(1/1000)*(1/1000000)</f>
        <v>0.22098660000000001</v>
      </c>
      <c r="I62" s="122">
        <f>I61*$B$59*10000*(1/1000)*(1/1000000)</f>
        <v>0.21974399999999997</v>
      </c>
      <c r="J62" s="122">
        <f>J61*$B$59*10000*(1/1000)*(1/1000000)</f>
        <v>0.21895920000000002</v>
      </c>
      <c r="K62" s="122">
        <f>K61*$B$59*10000*(1/1000)*(1/1000000)</f>
        <v>0.18989980000000001</v>
      </c>
      <c r="L62" s="122">
        <f>L61*$B$59*10000*(1/1000)*(1/1000000)</f>
        <v>0.246558</v>
      </c>
      <c r="M62" s="122">
        <f>M61*$B$59*10000*(1/1000)*(1/1000000)</f>
        <v>0.24126059999999999</v>
      </c>
      <c r="N62" s="122">
        <f>N61*$B$59*10000*(1/1000)*(1/1000000)</f>
        <v>0.19946999999999998</v>
      </c>
      <c r="O62" s="122">
        <f>O61*$B$59*10000*(1/1000)*(1/1000000)</f>
        <v>0.22977199999999995</v>
      </c>
      <c r="P62" s="123"/>
    </row>
    <row r="63" spans="1:16" ht="15.75" x14ac:dyDescent="0.25">
      <c r="A63" s="121"/>
      <c r="B63" s="128"/>
      <c r="C63" s="127" t="s">
        <v>44</v>
      </c>
      <c r="D63" s="121">
        <v>1</v>
      </c>
      <c r="E63" s="121">
        <v>1</v>
      </c>
      <c r="F63" s="121">
        <v>1</v>
      </c>
      <c r="G63" s="121">
        <v>1</v>
      </c>
      <c r="H63" s="121">
        <v>1</v>
      </c>
      <c r="I63" s="121">
        <v>1</v>
      </c>
      <c r="J63" s="121">
        <v>1</v>
      </c>
      <c r="K63" s="121">
        <v>1</v>
      </c>
      <c r="L63" s="121">
        <v>1.05</v>
      </c>
      <c r="M63" s="121">
        <v>1.05</v>
      </c>
      <c r="N63" s="121">
        <v>1</v>
      </c>
      <c r="O63" s="121">
        <v>1</v>
      </c>
      <c r="P63" s="123">
        <f>SUM(D63:O63)</f>
        <v>12.100000000000001</v>
      </c>
    </row>
    <row r="64" spans="1:16" ht="15.75" x14ac:dyDescent="0.25">
      <c r="A64" s="121"/>
      <c r="B64" s="120"/>
      <c r="C64" s="121" t="s">
        <v>68</v>
      </c>
      <c r="D64" s="130">
        <f>D63*D62</f>
        <v>0.27842959999999994</v>
      </c>
      <c r="E64" s="130">
        <f t="shared" ref="E64:O64" si="31">E63*E62</f>
        <v>0.2789528</v>
      </c>
      <c r="F64" s="130">
        <f t="shared" si="31"/>
        <v>0.28316020000000008</v>
      </c>
      <c r="G64" s="130">
        <f t="shared" si="31"/>
        <v>0.22432199999999999</v>
      </c>
      <c r="H64" s="130">
        <f t="shared" si="31"/>
        <v>0.22098660000000001</v>
      </c>
      <c r="I64" s="130">
        <f t="shared" si="31"/>
        <v>0.21974399999999997</v>
      </c>
      <c r="J64" s="130">
        <f t="shared" si="31"/>
        <v>0.21895920000000002</v>
      </c>
      <c r="K64" s="130">
        <f t="shared" si="31"/>
        <v>0.18989980000000001</v>
      </c>
      <c r="L64" s="130">
        <f t="shared" si="31"/>
        <v>0.2588859</v>
      </c>
      <c r="M64" s="130">
        <f t="shared" si="31"/>
        <v>0.25332363000000002</v>
      </c>
      <c r="N64" s="130">
        <f t="shared" si="31"/>
        <v>0.19946999999999998</v>
      </c>
      <c r="O64" s="130">
        <f t="shared" si="31"/>
        <v>0.22977199999999995</v>
      </c>
      <c r="P64" s="131">
        <f>SUM(D64:O64)</f>
        <v>2.8559057299999999</v>
      </c>
    </row>
    <row r="65" spans="1:16" ht="15.75" x14ac:dyDescent="0.25">
      <c r="A65" s="129"/>
      <c r="B65" s="120"/>
      <c r="C65" s="132" t="s">
        <v>66</v>
      </c>
      <c r="D65" s="133">
        <f>D60</f>
        <v>5.3005700223713655E-2</v>
      </c>
      <c r="E65" s="133">
        <f t="shared" ref="E65:O65" si="32">E60</f>
        <v>3.0043543735224595E-2</v>
      </c>
      <c r="F65" s="133">
        <f t="shared" si="32"/>
        <v>0.10112971555555561</v>
      </c>
      <c r="G65" s="133">
        <f t="shared" si="32"/>
        <v>0.28947543448275881</v>
      </c>
      <c r="H65" s="133">
        <f t="shared" si="32"/>
        <v>0.23937151724137923</v>
      </c>
      <c r="I65" s="133">
        <f t="shared" si="32"/>
        <v>0.13571151494252878</v>
      </c>
      <c r="J65" s="133">
        <f t="shared" si="32"/>
        <v>0.14845048275862074</v>
      </c>
      <c r="K65" s="133">
        <f t="shared" si="32"/>
        <v>0.14770531882480964</v>
      </c>
      <c r="L65" s="133">
        <f t="shared" si="32"/>
        <v>0.11791959111111111</v>
      </c>
      <c r="M65" s="133">
        <f t="shared" si="32"/>
        <v>0.17766999999999986</v>
      </c>
      <c r="N65" s="133">
        <f t="shared" si="32"/>
        <v>0.2194508275862071</v>
      </c>
      <c r="O65" s="133">
        <f t="shared" si="32"/>
        <v>8.0340266666666646E-2</v>
      </c>
      <c r="P65" s="134">
        <f>SUM(D65:O65)</f>
        <v>1.7402739131285754</v>
      </c>
    </row>
    <row r="66" spans="1:16" ht="15.75" x14ac:dyDescent="0.25">
      <c r="A66" s="97" t="s">
        <v>58</v>
      </c>
      <c r="B66" s="98">
        <f>D11*0.005-B59</f>
        <v>7382</v>
      </c>
      <c r="C66" s="104" t="s">
        <v>29</v>
      </c>
      <c r="D66" s="142">
        <f>D7</f>
        <v>24.314541387024608</v>
      </c>
      <c r="E66" s="142">
        <f>E7</f>
        <v>13.781442080378255</v>
      </c>
      <c r="F66" s="142">
        <f>F7</f>
        <v>46.389777777777802</v>
      </c>
      <c r="G66" s="142">
        <f>G7</f>
        <v>132.78689655172423</v>
      </c>
      <c r="H66" s="142">
        <f>H7</f>
        <v>109.80344827586202</v>
      </c>
      <c r="I66" s="142">
        <f>I7</f>
        <v>62.25298850574714</v>
      </c>
      <c r="J66" s="142">
        <f>J7</f>
        <v>68.096551724137953</v>
      </c>
      <c r="K66" s="142">
        <f>K7</f>
        <v>67.754733405875982</v>
      </c>
      <c r="L66" s="142">
        <f>L7</f>
        <v>54.091555555555558</v>
      </c>
      <c r="M66" s="142">
        <f>M7</f>
        <v>81.499999999999929</v>
      </c>
      <c r="N66" s="142">
        <f>N7</f>
        <v>100.66551724137939</v>
      </c>
      <c r="O66" s="142">
        <f>O7</f>
        <v>36.853333333333325</v>
      </c>
      <c r="P66" s="142"/>
    </row>
    <row r="67" spans="1:16" ht="15.75" x14ac:dyDescent="0.25">
      <c r="A67" s="99" t="s">
        <v>37</v>
      </c>
      <c r="B67" s="98"/>
      <c r="C67" s="104" t="s">
        <v>57</v>
      </c>
      <c r="D67" s="102">
        <f>D66*$B$66*10000*(1/1000)*(1/1000000)</f>
        <v>1.7948994451901568</v>
      </c>
      <c r="E67" s="102">
        <f t="shared" ref="E67:O67" si="33">E66*$B$66*10000*(1/1000)*(1/1000000)</f>
        <v>1.0173460543735227</v>
      </c>
      <c r="F67" s="102">
        <f t="shared" si="33"/>
        <v>3.4244933955555572</v>
      </c>
      <c r="G67" s="102">
        <f t="shared" si="33"/>
        <v>9.802328703448282</v>
      </c>
      <c r="H67" s="102">
        <f t="shared" si="33"/>
        <v>8.105690551724134</v>
      </c>
      <c r="I67" s="102">
        <f t="shared" si="33"/>
        <v>4.5955156114942541</v>
      </c>
      <c r="J67" s="102">
        <f t="shared" si="33"/>
        <v>5.0268874482758639</v>
      </c>
      <c r="K67" s="102">
        <f t="shared" si="33"/>
        <v>5.0016544200217643</v>
      </c>
      <c r="L67" s="102">
        <f t="shared" si="33"/>
        <v>3.9930386311111112</v>
      </c>
      <c r="M67" s="102">
        <f t="shared" si="33"/>
        <v>6.0163299999999937</v>
      </c>
      <c r="N67" s="102">
        <f t="shared" si="33"/>
        <v>7.4311284827586261</v>
      </c>
      <c r="O67" s="102">
        <f t="shared" si="33"/>
        <v>2.7205130666666659</v>
      </c>
      <c r="P67" s="101">
        <f>SUM(D67:O67)</f>
        <v>58.929825810619938</v>
      </c>
    </row>
    <row r="68" spans="1:16" ht="15.75" x14ac:dyDescent="0.25">
      <c r="A68" s="99"/>
      <c r="B68" s="98"/>
      <c r="C68" s="99" t="s">
        <v>41</v>
      </c>
      <c r="D68" s="99">
        <v>127.72</v>
      </c>
      <c r="E68" s="99">
        <v>127.96000000000001</v>
      </c>
      <c r="F68" s="99">
        <v>129.89000000000001</v>
      </c>
      <c r="G68" s="99">
        <v>102.9</v>
      </c>
      <c r="H68" s="99">
        <v>101.37</v>
      </c>
      <c r="I68" s="99">
        <v>100.8</v>
      </c>
      <c r="J68" s="99">
        <v>100.44000000000001</v>
      </c>
      <c r="K68" s="99">
        <v>87.11</v>
      </c>
      <c r="L68" s="99">
        <v>113.1</v>
      </c>
      <c r="M68" s="99">
        <v>110.67</v>
      </c>
      <c r="N68" s="99">
        <v>91.5</v>
      </c>
      <c r="O68" s="99">
        <v>105.39999999999999</v>
      </c>
      <c r="P68" s="101">
        <f>SUM(D68:O68)</f>
        <v>1298.8600000000001</v>
      </c>
    </row>
    <row r="69" spans="1:16" ht="15.75" x14ac:dyDescent="0.25">
      <c r="A69" s="99"/>
      <c r="B69" s="98"/>
      <c r="C69" s="104" t="s">
        <v>44</v>
      </c>
      <c r="D69" s="99">
        <v>1</v>
      </c>
      <c r="E69" s="99">
        <v>1</v>
      </c>
      <c r="F69" s="99">
        <v>1</v>
      </c>
      <c r="G69" s="99">
        <v>1</v>
      </c>
      <c r="H69" s="99">
        <v>1</v>
      </c>
      <c r="I69" s="99">
        <v>1</v>
      </c>
      <c r="J69" s="99">
        <v>1</v>
      </c>
      <c r="K69" s="99">
        <v>1</v>
      </c>
      <c r="L69" s="99">
        <v>1</v>
      </c>
      <c r="M69" s="99">
        <v>1</v>
      </c>
      <c r="N69" s="99">
        <v>1</v>
      </c>
      <c r="O69" s="99">
        <v>1</v>
      </c>
      <c r="P69" s="101">
        <f t="shared" ref="P69:P74" si="34">SUM(D69:O69)</f>
        <v>12</v>
      </c>
    </row>
    <row r="70" spans="1:16" ht="15.75" x14ac:dyDescent="0.25">
      <c r="A70" s="99"/>
      <c r="B70" s="98"/>
      <c r="C70" s="99" t="s">
        <v>68</v>
      </c>
      <c r="D70" s="100">
        <f>(D68*D69*$B$66*10000*(1/1000)*(1/1000000))-D67</f>
        <v>7.6333909548098431</v>
      </c>
      <c r="E70" s="100">
        <f t="shared" ref="E70:O70" si="35">(E68*E69*$B$66*10000*(1/1000)*(1/1000000))-E67</f>
        <v>8.4286611456264779</v>
      </c>
      <c r="F70" s="100">
        <f t="shared" si="35"/>
        <v>6.1639864044444446</v>
      </c>
      <c r="G70" s="100">
        <f t="shared" si="35"/>
        <v>-2.2062507034482826</v>
      </c>
      <c r="H70" s="100">
        <f t="shared" si="35"/>
        <v>-0.62255715172413328</v>
      </c>
      <c r="I70" s="100">
        <f t="shared" si="35"/>
        <v>2.8455403885057455</v>
      </c>
      <c r="J70" s="100">
        <f t="shared" si="35"/>
        <v>2.3875933517241368</v>
      </c>
      <c r="K70" s="100">
        <f t="shared" si="35"/>
        <v>1.4288057799782354</v>
      </c>
      <c r="L70" s="100">
        <f t="shared" si="35"/>
        <v>4.3560033688888877</v>
      </c>
      <c r="M70" s="100">
        <f t="shared" si="35"/>
        <v>2.1533294000000067</v>
      </c>
      <c r="N70" s="100">
        <f t="shared" si="35"/>
        <v>-0.67659848275862622</v>
      </c>
      <c r="O70" s="100">
        <f t="shared" si="35"/>
        <v>5.0601149333333328</v>
      </c>
      <c r="P70" s="103">
        <f t="shared" si="34"/>
        <v>36.952019389380062</v>
      </c>
    </row>
    <row r="71" spans="1:16" ht="15.75" x14ac:dyDescent="0.25">
      <c r="A71" s="99"/>
      <c r="B71" s="98"/>
      <c r="C71" s="105" t="s">
        <v>66</v>
      </c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06">
        <f t="shared" si="34"/>
        <v>0</v>
      </c>
    </row>
    <row r="72" spans="1:16" ht="15.75" x14ac:dyDescent="0.25">
      <c r="A72" s="107" t="s">
        <v>59</v>
      </c>
      <c r="B72" s="108">
        <f>$D$11*0.002</f>
        <v>3040</v>
      </c>
      <c r="C72" s="109" t="s">
        <v>29</v>
      </c>
      <c r="D72" s="110">
        <f>D7</f>
        <v>24.314541387024608</v>
      </c>
      <c r="E72" s="110">
        <f>E7</f>
        <v>13.781442080378255</v>
      </c>
      <c r="F72" s="110">
        <f>F7</f>
        <v>46.389777777777802</v>
      </c>
      <c r="G72" s="110">
        <f>G7</f>
        <v>132.78689655172423</v>
      </c>
      <c r="H72" s="110">
        <f>H7</f>
        <v>109.80344827586202</v>
      </c>
      <c r="I72" s="110">
        <f>I7</f>
        <v>62.25298850574714</v>
      </c>
      <c r="J72" s="110">
        <f>J7</f>
        <v>68.096551724137953</v>
      </c>
      <c r="K72" s="110">
        <f>K7</f>
        <v>67.754733405875982</v>
      </c>
      <c r="L72" s="110">
        <f>L7</f>
        <v>54.091555555555558</v>
      </c>
      <c r="M72" s="110">
        <f>M7</f>
        <v>81.499999999999929</v>
      </c>
      <c r="N72" s="110">
        <f>N7</f>
        <v>100.66551724137939</v>
      </c>
      <c r="O72" s="110">
        <f>O7</f>
        <v>36.853333333333325</v>
      </c>
      <c r="P72" s="111">
        <f t="shared" si="34"/>
        <v>798.29078583879618</v>
      </c>
    </row>
    <row r="73" spans="1:16" ht="15.75" x14ac:dyDescent="0.25">
      <c r="A73" s="109" t="s">
        <v>37</v>
      </c>
      <c r="B73" s="108"/>
      <c r="C73" s="109" t="s">
        <v>30</v>
      </c>
      <c r="D73" s="112">
        <f>D72*$B$72*10000*(1/1000)*(1/1000000)</f>
        <v>0.73916205816554814</v>
      </c>
      <c r="E73" s="112">
        <f t="shared" ref="E73:O73" si="36">E72*$B$72*10000*(1/1000)*(1/1000000)</f>
        <v>0.41895583924349894</v>
      </c>
      <c r="F73" s="112">
        <f t="shared" si="36"/>
        <v>1.4102492444444452</v>
      </c>
      <c r="G73" s="112">
        <f t="shared" si="36"/>
        <v>4.0367216551724159</v>
      </c>
      <c r="H73" s="112">
        <f t="shared" si="36"/>
        <v>3.3380248275862061</v>
      </c>
      <c r="I73" s="112">
        <f t="shared" si="36"/>
        <v>1.8924908505747129</v>
      </c>
      <c r="J73" s="112">
        <f t="shared" si="36"/>
        <v>2.0701351724137935</v>
      </c>
      <c r="K73" s="112">
        <f t="shared" si="36"/>
        <v>2.0597438955386296</v>
      </c>
      <c r="L73" s="112">
        <f t="shared" si="36"/>
        <v>1.644383288888889</v>
      </c>
      <c r="M73" s="112">
        <f t="shared" si="36"/>
        <v>2.477599999999998</v>
      </c>
      <c r="N73" s="112">
        <f t="shared" si="36"/>
        <v>3.0602317241379335</v>
      </c>
      <c r="O73" s="112">
        <f t="shared" si="36"/>
        <v>1.120341333333333</v>
      </c>
      <c r="P73" s="111">
        <f t="shared" si="34"/>
        <v>24.268039889499402</v>
      </c>
    </row>
    <row r="74" spans="1:16" ht="15.75" x14ac:dyDescent="0.25">
      <c r="A74" s="109" t="s">
        <v>60</v>
      </c>
      <c r="B74" s="108"/>
      <c r="C74" s="113" t="s">
        <v>61</v>
      </c>
      <c r="D74" s="136">
        <f>D73*0.8</f>
        <v>0.59132964653243858</v>
      </c>
      <c r="E74" s="136">
        <f t="shared" ref="E74:O74" si="37">E73*0.8</f>
        <v>0.33516467139479916</v>
      </c>
      <c r="F74" s="136">
        <f t="shared" si="37"/>
        <v>1.1281993955555563</v>
      </c>
      <c r="G74" s="136">
        <f t="shared" si="37"/>
        <v>3.2293773241379329</v>
      </c>
      <c r="H74" s="136">
        <f t="shared" si="37"/>
        <v>2.670419862068965</v>
      </c>
      <c r="I74" s="136">
        <f t="shared" si="37"/>
        <v>1.5139926804597703</v>
      </c>
      <c r="J74" s="136">
        <f t="shared" si="37"/>
        <v>1.656108137931035</v>
      </c>
      <c r="K74" s="136">
        <f t="shared" si="37"/>
        <v>1.6477951164309037</v>
      </c>
      <c r="L74" s="136">
        <f t="shared" si="37"/>
        <v>1.3155066311111112</v>
      </c>
      <c r="M74" s="136">
        <f t="shared" si="37"/>
        <v>1.9820799999999985</v>
      </c>
      <c r="N74" s="136">
        <f t="shared" si="37"/>
        <v>2.4481853793103472</v>
      </c>
      <c r="O74" s="136">
        <f t="shared" si="37"/>
        <v>0.8962730666666664</v>
      </c>
      <c r="P74" s="114">
        <f t="shared" si="34"/>
        <v>19.414431911599522</v>
      </c>
    </row>
    <row r="75" spans="1:16" ht="15.75" x14ac:dyDescent="0.25">
      <c r="A75" s="109"/>
      <c r="B75" s="108"/>
      <c r="C75" s="113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14"/>
    </row>
    <row r="76" spans="1:16" x14ac:dyDescent="0.25">
      <c r="A76" s="13"/>
      <c r="B76" s="14"/>
      <c r="C76" s="13"/>
      <c r="D76" s="13"/>
      <c r="E76" s="13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ht="15.75" x14ac:dyDescent="0.25">
      <c r="A77" s="63" t="s">
        <v>62</v>
      </c>
      <c r="B77" s="63" t="s">
        <v>63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64"/>
    </row>
    <row r="78" spans="1:16" ht="15.75" x14ac:dyDescent="0.25">
      <c r="A78" s="1">
        <v>500000</v>
      </c>
      <c r="B78" s="1">
        <v>0.05</v>
      </c>
      <c r="C78" s="1" t="s">
        <v>55</v>
      </c>
      <c r="D78" s="91">
        <f>((A78*B78*365)/12)/1000000</f>
        <v>0.76041666666666663</v>
      </c>
      <c r="E78" s="92">
        <v>0.76</v>
      </c>
      <c r="F78" s="92">
        <v>0.76</v>
      </c>
      <c r="G78" s="92">
        <v>0.76</v>
      </c>
      <c r="H78" s="92">
        <v>0.76</v>
      </c>
      <c r="I78" s="92">
        <v>0.76</v>
      </c>
      <c r="J78" s="92">
        <v>0.76</v>
      </c>
      <c r="K78" s="92">
        <v>0.76</v>
      </c>
      <c r="L78" s="92">
        <v>0.76</v>
      </c>
      <c r="M78" s="92">
        <v>0.76</v>
      </c>
      <c r="N78" s="92">
        <v>0.76</v>
      </c>
      <c r="O78" s="92">
        <v>0.76</v>
      </c>
      <c r="P78" s="65">
        <f>SUM(D78:O78)</f>
        <v>9.1204166666666655</v>
      </c>
    </row>
    <row r="79" spans="1:16" ht="15.75" x14ac:dyDescent="0.25">
      <c r="A79" s="137" t="s">
        <v>64</v>
      </c>
      <c r="B79" s="137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9"/>
    </row>
    <row r="80" spans="1:16" ht="15.75" x14ac:dyDescent="0.25">
      <c r="A80" s="138">
        <v>700000</v>
      </c>
      <c r="B80" s="138">
        <v>0.05</v>
      </c>
      <c r="C80" s="138" t="s">
        <v>55</v>
      </c>
      <c r="D80" s="93">
        <f>((A80*B80*365)/12)/1000000</f>
        <v>1.0645833333333332</v>
      </c>
      <c r="E80" s="138">
        <v>1.06</v>
      </c>
      <c r="F80" s="138">
        <v>1.06</v>
      </c>
      <c r="G80" s="138">
        <v>1.06</v>
      </c>
      <c r="H80" s="138">
        <v>1.06</v>
      </c>
      <c r="I80" s="138">
        <v>1.06</v>
      </c>
      <c r="J80" s="138">
        <v>1.06</v>
      </c>
      <c r="K80" s="138">
        <v>1.06</v>
      </c>
      <c r="L80" s="138">
        <v>1.06</v>
      </c>
      <c r="M80" s="138">
        <v>1.06</v>
      </c>
      <c r="N80" s="138">
        <v>1.06</v>
      </c>
      <c r="O80" s="138">
        <v>1.06</v>
      </c>
      <c r="P80" s="140">
        <f>SUM(D80:O80)</f>
        <v>12.724583333333337</v>
      </c>
    </row>
    <row r="81" spans="1:16" x14ac:dyDescent="0.25">
      <c r="A81" s="13"/>
      <c r="B81" s="14"/>
      <c r="C81" s="13"/>
      <c r="D81" s="13"/>
      <c r="E81" s="13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3"/>
    </row>
  </sheetData>
  <mergeCells count="1">
    <mergeCell ref="D13:P13"/>
  </mergeCells>
  <pageMargins left="0.70866141732283472" right="0.70866141732283472" top="0.74803149606299213" bottom="0.74803149606299213" header="0.31496062992125984" footer="0.31496062992125984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Pretoria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van der Laan</dc:creator>
  <cp:lastModifiedBy>M van der Laan</cp:lastModifiedBy>
  <cp:lastPrinted>2021-03-26T10:38:05Z</cp:lastPrinted>
  <dcterms:created xsi:type="dcterms:W3CDTF">2021-03-25T10:43:22Z</dcterms:created>
  <dcterms:modified xsi:type="dcterms:W3CDTF">2021-07-07T06:28:20Z</dcterms:modified>
</cp:coreProperties>
</file>