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7020" yWindow="-2085" windowWidth="19440" windowHeight="12240" activeTab="1"/>
  </bookViews>
  <sheets>
    <sheet name="Sheet1" sheetId="1" r:id="rId1"/>
    <sheet name="ET graphs" sheetId="2" r:id="rId2"/>
    <sheet name="Orange river flow calc" sheetId="3" r:id="rId3"/>
    <sheet name="WUE to WF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3" l="1"/>
  <c r="J7" i="3"/>
  <c r="J8" i="3"/>
  <c r="I7" i="1"/>
  <c r="B38" i="1"/>
  <c r="M6" i="2"/>
  <c r="M7" i="2"/>
  <c r="M8" i="2"/>
  <c r="M9" i="2"/>
  <c r="C7" i="4"/>
  <c r="B3" i="4"/>
  <c r="B7" i="4"/>
  <c r="B4" i="4"/>
  <c r="B5" i="4"/>
  <c r="B6" i="4"/>
  <c r="J15" i="3"/>
  <c r="J16" i="3"/>
  <c r="B17" i="3"/>
  <c r="B7" i="3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C7" i="1"/>
  <c r="C10" i="1"/>
  <c r="C8" i="1"/>
  <c r="C11" i="1"/>
  <c r="C12" i="1"/>
  <c r="E7" i="1"/>
  <c r="E10" i="1"/>
  <c r="E8" i="1"/>
  <c r="E11" i="1"/>
  <c r="E12" i="1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EL6" i="2"/>
  <c r="EL7" i="2"/>
  <c r="EL8" i="2"/>
  <c r="EL9" i="2"/>
  <c r="EL10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EM31" i="2"/>
  <c r="EE31" i="2"/>
  <c r="EF31" i="2"/>
  <c r="EG31" i="2"/>
  <c r="DV31" i="2"/>
  <c r="EA6" i="2"/>
  <c r="EA7" i="2"/>
  <c r="EA8" i="2"/>
  <c r="EA9" i="2"/>
  <c r="EA10" i="2"/>
  <c r="EA11" i="2"/>
  <c r="EA12" i="2"/>
  <c r="EA13" i="2"/>
  <c r="EA14" i="2"/>
  <c r="EA15" i="2"/>
  <c r="EA16" i="2"/>
  <c r="EA17" i="2"/>
  <c r="EA18" i="2"/>
  <c r="EA19" i="2"/>
  <c r="EA20" i="2"/>
  <c r="EA21" i="2"/>
  <c r="EA22" i="2"/>
  <c r="EA23" i="2"/>
  <c r="EA24" i="2"/>
  <c r="EA25" i="2"/>
  <c r="EA26" i="2"/>
  <c r="EA27" i="2"/>
  <c r="EA28" i="2"/>
  <c r="EA29" i="2"/>
  <c r="EA30" i="2"/>
  <c r="EA31" i="2"/>
  <c r="EB31" i="2"/>
  <c r="DJ6" i="2"/>
  <c r="DL6" i="2"/>
  <c r="DI6" i="2"/>
  <c r="DM6" i="2"/>
  <c r="DU6" i="2"/>
  <c r="DJ7" i="2"/>
  <c r="DL7" i="2"/>
  <c r="DI7" i="2"/>
  <c r="DM7" i="2"/>
  <c r="DU7" i="2"/>
  <c r="DJ8" i="2"/>
  <c r="DL8" i="2"/>
  <c r="DI8" i="2"/>
  <c r="DM8" i="2"/>
  <c r="DU8" i="2"/>
  <c r="DJ9" i="2"/>
  <c r="DL9" i="2"/>
  <c r="DI9" i="2"/>
  <c r="DM9" i="2"/>
  <c r="DU9" i="2"/>
  <c r="DJ10" i="2"/>
  <c r="DL10" i="2"/>
  <c r="DI10" i="2"/>
  <c r="DM10" i="2"/>
  <c r="DU10" i="2"/>
  <c r="DJ11" i="2"/>
  <c r="DL11" i="2"/>
  <c r="DM11" i="2"/>
  <c r="DU11" i="2"/>
  <c r="DJ12" i="2"/>
  <c r="DL12" i="2"/>
  <c r="DM12" i="2"/>
  <c r="DU12" i="2"/>
  <c r="DJ13" i="2"/>
  <c r="DL13" i="2"/>
  <c r="DM13" i="2"/>
  <c r="DU13" i="2"/>
  <c r="DJ14" i="2"/>
  <c r="DL14" i="2"/>
  <c r="DM14" i="2"/>
  <c r="DU14" i="2"/>
  <c r="DJ15" i="2"/>
  <c r="DL15" i="2"/>
  <c r="DM15" i="2"/>
  <c r="DU15" i="2"/>
  <c r="DJ16" i="2"/>
  <c r="DL16" i="2"/>
  <c r="DM16" i="2"/>
  <c r="DU16" i="2"/>
  <c r="DJ17" i="2"/>
  <c r="DL17" i="2"/>
  <c r="DM17" i="2"/>
  <c r="DU17" i="2"/>
  <c r="DJ18" i="2"/>
  <c r="DL18" i="2"/>
  <c r="DM18" i="2"/>
  <c r="DU18" i="2"/>
  <c r="DJ19" i="2"/>
  <c r="DL19" i="2"/>
  <c r="DM19" i="2"/>
  <c r="DU19" i="2"/>
  <c r="DJ20" i="2"/>
  <c r="DL20" i="2"/>
  <c r="DM20" i="2"/>
  <c r="DU20" i="2"/>
  <c r="DJ21" i="2"/>
  <c r="DL21" i="2"/>
  <c r="DM21" i="2"/>
  <c r="DU21" i="2"/>
  <c r="DJ22" i="2"/>
  <c r="DL22" i="2"/>
  <c r="DM22" i="2"/>
  <c r="DU22" i="2"/>
  <c r="DJ23" i="2"/>
  <c r="DL23" i="2"/>
  <c r="DM23" i="2"/>
  <c r="DU23" i="2"/>
  <c r="DJ24" i="2"/>
  <c r="DL24" i="2"/>
  <c r="DM24" i="2"/>
  <c r="DU24" i="2"/>
  <c r="DJ25" i="2"/>
  <c r="DL25" i="2"/>
  <c r="DM25" i="2"/>
  <c r="DU25" i="2"/>
  <c r="DJ26" i="2"/>
  <c r="DL26" i="2"/>
  <c r="DM26" i="2"/>
  <c r="DU26" i="2"/>
  <c r="DJ27" i="2"/>
  <c r="DL27" i="2"/>
  <c r="DM27" i="2"/>
  <c r="DU27" i="2"/>
  <c r="DJ28" i="2"/>
  <c r="DL28" i="2"/>
  <c r="DM28" i="2"/>
  <c r="DU28" i="2"/>
  <c r="DJ29" i="2"/>
  <c r="DL29" i="2"/>
  <c r="DM29" i="2"/>
  <c r="DU29" i="2"/>
  <c r="DJ30" i="2"/>
  <c r="DL30" i="2"/>
  <c r="DM30" i="2"/>
  <c r="DU30" i="2"/>
  <c r="DJ31" i="2"/>
  <c r="DL31" i="2"/>
  <c r="DM31" i="2"/>
  <c r="DU31" i="2"/>
  <c r="DX31" i="2"/>
  <c r="DN15" i="2"/>
  <c r="DT15" i="2"/>
  <c r="DT16" i="2"/>
  <c r="DT17" i="2"/>
  <c r="DT18" i="2"/>
  <c r="DT19" i="2"/>
  <c r="DT20" i="2"/>
  <c r="DT21" i="2"/>
  <c r="DT22" i="2"/>
  <c r="DT23" i="2"/>
  <c r="DT24" i="2"/>
  <c r="DT25" i="2"/>
  <c r="DT26" i="2"/>
  <c r="DT27" i="2"/>
  <c r="DT28" i="2"/>
  <c r="DT29" i="2"/>
  <c r="DT30" i="2"/>
  <c r="DT31" i="2"/>
  <c r="DW31" i="2"/>
  <c r="DS15" i="2"/>
  <c r="DK16" i="2"/>
  <c r="DS16" i="2"/>
  <c r="DK17" i="2"/>
  <c r="DS17" i="2"/>
  <c r="DK18" i="2"/>
  <c r="DS18" i="2"/>
  <c r="DK19" i="2"/>
  <c r="DS19" i="2"/>
  <c r="DK20" i="2"/>
  <c r="DS20" i="2"/>
  <c r="DK21" i="2"/>
  <c r="DS21" i="2"/>
  <c r="DK22" i="2"/>
  <c r="DS22" i="2"/>
  <c r="DK23" i="2"/>
  <c r="DS23" i="2"/>
  <c r="DK24" i="2"/>
  <c r="DS24" i="2"/>
  <c r="DK25" i="2"/>
  <c r="DS25" i="2"/>
  <c r="DK26" i="2"/>
  <c r="DS26" i="2"/>
  <c r="DK27" i="2"/>
  <c r="DS27" i="2"/>
  <c r="DK28" i="2"/>
  <c r="DS28" i="2"/>
  <c r="DK29" i="2"/>
  <c r="DS29" i="2"/>
  <c r="DK30" i="2"/>
  <c r="DS30" i="2"/>
  <c r="DK31" i="2"/>
  <c r="DS31" i="2"/>
  <c r="DQ31" i="2"/>
  <c r="DP31" i="2"/>
  <c r="DO31" i="2"/>
  <c r="DN31" i="2"/>
  <c r="DI31" i="2"/>
  <c r="CV31" i="2"/>
  <c r="CU31" i="2"/>
  <c r="CT31" i="2"/>
  <c r="AL31" i="2"/>
  <c r="R31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DQ30" i="2"/>
  <c r="DP30" i="2"/>
  <c r="DO30" i="2"/>
  <c r="DN30" i="2"/>
  <c r="DI30" i="2"/>
  <c r="CV30" i="2"/>
  <c r="CU30" i="2"/>
  <c r="CT30" i="2"/>
  <c r="R30" i="2"/>
  <c r="DQ29" i="2"/>
  <c r="DP29" i="2"/>
  <c r="DO29" i="2"/>
  <c r="DN29" i="2"/>
  <c r="DI29" i="2"/>
  <c r="CV29" i="2"/>
  <c r="CU29" i="2"/>
  <c r="CT29" i="2"/>
  <c r="R29" i="2"/>
  <c r="DQ28" i="2"/>
  <c r="DP28" i="2"/>
  <c r="DO28" i="2"/>
  <c r="DN28" i="2"/>
  <c r="DI28" i="2"/>
  <c r="DF8" i="2"/>
  <c r="BI9" i="2"/>
  <c r="DF9" i="2"/>
  <c r="BI10" i="2"/>
  <c r="DF10" i="2"/>
  <c r="BI11" i="2"/>
  <c r="DF11" i="2"/>
  <c r="BI12" i="2"/>
  <c r="DF12" i="2"/>
  <c r="BI13" i="2"/>
  <c r="DF13" i="2"/>
  <c r="BI14" i="2"/>
  <c r="DF14" i="2"/>
  <c r="BI15" i="2"/>
  <c r="DF15" i="2"/>
  <c r="BI16" i="2"/>
  <c r="DF16" i="2"/>
  <c r="BI17" i="2"/>
  <c r="DF17" i="2"/>
  <c r="BI18" i="2"/>
  <c r="DF18" i="2"/>
  <c r="BI19" i="2"/>
  <c r="DF19" i="2"/>
  <c r="BI20" i="2"/>
  <c r="DF20" i="2"/>
  <c r="BI21" i="2"/>
  <c r="DF21" i="2"/>
  <c r="BI22" i="2"/>
  <c r="DF22" i="2"/>
  <c r="BI23" i="2"/>
  <c r="DF23" i="2"/>
  <c r="BI24" i="2"/>
  <c r="DF24" i="2"/>
  <c r="DF25" i="2"/>
  <c r="DF26" i="2"/>
  <c r="DF27" i="2"/>
  <c r="DF28" i="2"/>
  <c r="CY8" i="2"/>
  <c r="DE8" i="2"/>
  <c r="CY9" i="2"/>
  <c r="DE9" i="2"/>
  <c r="CY10" i="2"/>
  <c r="DE10" i="2"/>
  <c r="CY11" i="2"/>
  <c r="DE11" i="2"/>
  <c r="CY12" i="2"/>
  <c r="DE12" i="2"/>
  <c r="CY13" i="2"/>
  <c r="DE13" i="2"/>
  <c r="CY14" i="2"/>
  <c r="DE14" i="2"/>
  <c r="CY15" i="2"/>
  <c r="DE15" i="2"/>
  <c r="CY16" i="2"/>
  <c r="DE16" i="2"/>
  <c r="CY17" i="2"/>
  <c r="DE17" i="2"/>
  <c r="CY18" i="2"/>
  <c r="DE18" i="2"/>
  <c r="CY19" i="2"/>
  <c r="DE19" i="2"/>
  <c r="CY20" i="2"/>
  <c r="DE20" i="2"/>
  <c r="CY21" i="2"/>
  <c r="DE21" i="2"/>
  <c r="CY22" i="2"/>
  <c r="DE22" i="2"/>
  <c r="CY23" i="2"/>
  <c r="DE23" i="2"/>
  <c r="DE24" i="2"/>
  <c r="DE25" i="2"/>
  <c r="DE26" i="2"/>
  <c r="DE27" i="2"/>
  <c r="DE28" i="2"/>
  <c r="CW8" i="2"/>
  <c r="DC8" i="2"/>
  <c r="CW9" i="2"/>
  <c r="DC9" i="2"/>
  <c r="CW10" i="2"/>
  <c r="DC10" i="2"/>
  <c r="CW11" i="2"/>
  <c r="DC11" i="2"/>
  <c r="CW12" i="2"/>
  <c r="DC12" i="2"/>
  <c r="CW13" i="2"/>
  <c r="DC13" i="2"/>
  <c r="CW14" i="2"/>
  <c r="DC14" i="2"/>
  <c r="CW15" i="2"/>
  <c r="DC15" i="2"/>
  <c r="CW16" i="2"/>
  <c r="DC16" i="2"/>
  <c r="CW17" i="2"/>
  <c r="DC17" i="2"/>
  <c r="CW18" i="2"/>
  <c r="DC18" i="2"/>
  <c r="CW19" i="2"/>
  <c r="DC19" i="2"/>
  <c r="CW20" i="2"/>
  <c r="DC20" i="2"/>
  <c r="CW21" i="2"/>
  <c r="DC21" i="2"/>
  <c r="CW22" i="2"/>
  <c r="DC22" i="2"/>
  <c r="CW23" i="2"/>
  <c r="DC23" i="2"/>
  <c r="CW24" i="2"/>
  <c r="DC24" i="2"/>
  <c r="CW25" i="2"/>
  <c r="DC25" i="2"/>
  <c r="CW26" i="2"/>
  <c r="DC26" i="2"/>
  <c r="CW27" i="2"/>
  <c r="DC27" i="2"/>
  <c r="CW28" i="2"/>
  <c r="DC28" i="2"/>
  <c r="CV8" i="2"/>
  <c r="DB8" i="2"/>
  <c r="CV9" i="2"/>
  <c r="DB9" i="2"/>
  <c r="CV10" i="2"/>
  <c r="DB10" i="2"/>
  <c r="CV11" i="2"/>
  <c r="DB11" i="2"/>
  <c r="CV12" i="2"/>
  <c r="DB12" i="2"/>
  <c r="CV13" i="2"/>
  <c r="DB13" i="2"/>
  <c r="CV14" i="2"/>
  <c r="DB14" i="2"/>
  <c r="CV15" i="2"/>
  <c r="DB15" i="2"/>
  <c r="CV16" i="2"/>
  <c r="DB16" i="2"/>
  <c r="CV17" i="2"/>
  <c r="DB17" i="2"/>
  <c r="CV18" i="2"/>
  <c r="DB18" i="2"/>
  <c r="CV19" i="2"/>
  <c r="DB19" i="2"/>
  <c r="CV20" i="2"/>
  <c r="DB20" i="2"/>
  <c r="CV21" i="2"/>
  <c r="DB21" i="2"/>
  <c r="CV22" i="2"/>
  <c r="DB22" i="2"/>
  <c r="CV23" i="2"/>
  <c r="DB23" i="2"/>
  <c r="CV24" i="2"/>
  <c r="DB24" i="2"/>
  <c r="CV25" i="2"/>
  <c r="DB25" i="2"/>
  <c r="CV26" i="2"/>
  <c r="DB26" i="2"/>
  <c r="CV27" i="2"/>
  <c r="DB27" i="2"/>
  <c r="CV28" i="2"/>
  <c r="DB28" i="2"/>
  <c r="CU8" i="2"/>
  <c r="DA8" i="2"/>
  <c r="CU9" i="2"/>
  <c r="DA9" i="2"/>
  <c r="CU10" i="2"/>
  <c r="DA10" i="2"/>
  <c r="CU11" i="2"/>
  <c r="DA11" i="2"/>
  <c r="CU12" i="2"/>
  <c r="DA12" i="2"/>
  <c r="CU13" i="2"/>
  <c r="DA13" i="2"/>
  <c r="CU14" i="2"/>
  <c r="DA14" i="2"/>
  <c r="CU15" i="2"/>
  <c r="DA15" i="2"/>
  <c r="CU16" i="2"/>
  <c r="DA16" i="2"/>
  <c r="CU17" i="2"/>
  <c r="DA17" i="2"/>
  <c r="CU18" i="2"/>
  <c r="DA18" i="2"/>
  <c r="CU19" i="2"/>
  <c r="DA19" i="2"/>
  <c r="CU20" i="2"/>
  <c r="DA20" i="2"/>
  <c r="CU21" i="2"/>
  <c r="DA21" i="2"/>
  <c r="CU22" i="2"/>
  <c r="DA22" i="2"/>
  <c r="CU23" i="2"/>
  <c r="DA23" i="2"/>
  <c r="CU24" i="2"/>
  <c r="DA24" i="2"/>
  <c r="CU25" i="2"/>
  <c r="DA25" i="2"/>
  <c r="CU26" i="2"/>
  <c r="DA26" i="2"/>
  <c r="CU27" i="2"/>
  <c r="DA27" i="2"/>
  <c r="CU28" i="2"/>
  <c r="DA28" i="2"/>
  <c r="CT8" i="2"/>
  <c r="CZ8" i="2"/>
  <c r="CT9" i="2"/>
  <c r="CZ9" i="2"/>
  <c r="CT10" i="2"/>
  <c r="CZ10" i="2"/>
  <c r="CT11" i="2"/>
  <c r="CZ11" i="2"/>
  <c r="CT12" i="2"/>
  <c r="CZ12" i="2"/>
  <c r="CT13" i="2"/>
  <c r="CZ13" i="2"/>
  <c r="CT14" i="2"/>
  <c r="CZ14" i="2"/>
  <c r="CT15" i="2"/>
  <c r="CZ15" i="2"/>
  <c r="CT16" i="2"/>
  <c r="CZ16" i="2"/>
  <c r="CT17" i="2"/>
  <c r="CZ17" i="2"/>
  <c r="CT18" i="2"/>
  <c r="CZ18" i="2"/>
  <c r="CT19" i="2"/>
  <c r="CZ19" i="2"/>
  <c r="CT20" i="2"/>
  <c r="CZ20" i="2"/>
  <c r="CT21" i="2"/>
  <c r="CZ21" i="2"/>
  <c r="CT22" i="2"/>
  <c r="CZ22" i="2"/>
  <c r="CT23" i="2"/>
  <c r="CZ23" i="2"/>
  <c r="CT24" i="2"/>
  <c r="CZ24" i="2"/>
  <c r="CT25" i="2"/>
  <c r="CZ25" i="2"/>
  <c r="CT26" i="2"/>
  <c r="CZ26" i="2"/>
  <c r="CT27" i="2"/>
  <c r="CZ27" i="2"/>
  <c r="CT28" i="2"/>
  <c r="CZ28" i="2"/>
  <c r="R28" i="2"/>
  <c r="DQ27" i="2"/>
  <c r="DP27" i="2"/>
  <c r="DO27" i="2"/>
  <c r="DN27" i="2"/>
  <c r="DI27" i="2"/>
  <c r="R26" i="2"/>
  <c r="R27" i="2"/>
  <c r="DQ26" i="2"/>
  <c r="DP26" i="2"/>
  <c r="DO26" i="2"/>
  <c r="DN26" i="2"/>
  <c r="DI26" i="2"/>
  <c r="DQ25" i="2"/>
  <c r="DP25" i="2"/>
  <c r="DO25" i="2"/>
  <c r="DN25" i="2"/>
  <c r="DI25" i="2"/>
  <c r="R25" i="2"/>
  <c r="DQ24" i="2"/>
  <c r="DP24" i="2"/>
  <c r="DO24" i="2"/>
  <c r="DN24" i="2"/>
  <c r="DI24" i="2"/>
  <c r="R24" i="2"/>
  <c r="DQ23" i="2"/>
  <c r="DP23" i="2"/>
  <c r="DO23" i="2"/>
  <c r="DN23" i="2"/>
  <c r="DI23" i="2"/>
  <c r="CX23" i="2"/>
  <c r="CN23" i="2"/>
  <c r="CM23" i="2"/>
  <c r="CL23" i="2"/>
  <c r="CK23" i="2"/>
  <c r="CJ23" i="2"/>
  <c r="CI23" i="2"/>
  <c r="CH23" i="2"/>
  <c r="CE23" i="2"/>
  <c r="R23" i="2"/>
  <c r="DQ22" i="2"/>
  <c r="DP22" i="2"/>
  <c r="DO22" i="2"/>
  <c r="DN22" i="2"/>
  <c r="DI22" i="2"/>
  <c r="CX22" i="2"/>
  <c r="CN22" i="2"/>
  <c r="CM22" i="2"/>
  <c r="CL22" i="2"/>
  <c r="CK22" i="2"/>
  <c r="CJ22" i="2"/>
  <c r="CI22" i="2"/>
  <c r="CH22" i="2"/>
  <c r="CE22" i="2"/>
  <c r="R22" i="2"/>
  <c r="DQ21" i="2"/>
  <c r="DP21" i="2"/>
  <c r="DO21" i="2"/>
  <c r="DN21" i="2"/>
  <c r="DI21" i="2"/>
  <c r="CX21" i="2"/>
  <c r="CN21" i="2"/>
  <c r="CM21" i="2"/>
  <c r="CL21" i="2"/>
  <c r="CK21" i="2"/>
  <c r="CJ21" i="2"/>
  <c r="CI21" i="2"/>
  <c r="CH21" i="2"/>
  <c r="CE21" i="2"/>
  <c r="R20" i="2"/>
  <c r="R21" i="2"/>
  <c r="DQ20" i="2"/>
  <c r="DP20" i="2"/>
  <c r="DO20" i="2"/>
  <c r="DN20" i="2"/>
  <c r="DI20" i="2"/>
  <c r="CX20" i="2"/>
  <c r="CN20" i="2"/>
  <c r="CM20" i="2"/>
  <c r="CL20" i="2"/>
  <c r="CK20" i="2"/>
  <c r="CJ20" i="2"/>
  <c r="CI20" i="2"/>
  <c r="CH20" i="2"/>
  <c r="CE20" i="2"/>
  <c r="DQ19" i="2"/>
  <c r="DP19" i="2"/>
  <c r="DO19" i="2"/>
  <c r="DN19" i="2"/>
  <c r="DI19" i="2"/>
  <c r="CX19" i="2"/>
  <c r="CN19" i="2"/>
  <c r="CM19" i="2"/>
  <c r="CL19" i="2"/>
  <c r="CK19" i="2"/>
  <c r="CJ19" i="2"/>
  <c r="CI19" i="2"/>
  <c r="CH19" i="2"/>
  <c r="CE19" i="2"/>
  <c r="R18" i="2"/>
  <c r="R19" i="2"/>
  <c r="DQ18" i="2"/>
  <c r="DP18" i="2"/>
  <c r="DO18" i="2"/>
  <c r="DN18" i="2"/>
  <c r="DI18" i="2"/>
  <c r="CX18" i="2"/>
  <c r="CN18" i="2"/>
  <c r="CM18" i="2"/>
  <c r="CL18" i="2"/>
  <c r="CK18" i="2"/>
  <c r="CJ18" i="2"/>
  <c r="CI18" i="2"/>
  <c r="CH18" i="2"/>
  <c r="CE18" i="2"/>
  <c r="DQ17" i="2"/>
  <c r="DP17" i="2"/>
  <c r="DO17" i="2"/>
  <c r="DN17" i="2"/>
  <c r="DI17" i="2"/>
  <c r="CX17" i="2"/>
  <c r="CN17" i="2"/>
  <c r="CM17" i="2"/>
  <c r="CL17" i="2"/>
  <c r="CK17" i="2"/>
  <c r="CJ17" i="2"/>
  <c r="CI17" i="2"/>
  <c r="CH17" i="2"/>
  <c r="CE17" i="2"/>
  <c r="R16" i="2"/>
  <c r="R17" i="2"/>
  <c r="DQ16" i="2"/>
  <c r="DP16" i="2"/>
  <c r="DO16" i="2"/>
  <c r="DN16" i="2"/>
  <c r="DI16" i="2"/>
  <c r="CX16" i="2"/>
  <c r="CN16" i="2"/>
  <c r="CM16" i="2"/>
  <c r="CL16" i="2"/>
  <c r="CK16" i="2"/>
  <c r="CJ16" i="2"/>
  <c r="CI16" i="2"/>
  <c r="CH16" i="2"/>
  <c r="CE16" i="2"/>
  <c r="DQ15" i="2"/>
  <c r="DP15" i="2"/>
  <c r="DO15" i="2"/>
  <c r="DK15" i="2"/>
  <c r="DI15" i="2"/>
  <c r="CX15" i="2"/>
  <c r="CN15" i="2"/>
  <c r="CM15" i="2"/>
  <c r="CL15" i="2"/>
  <c r="CK15" i="2"/>
  <c r="CJ15" i="2"/>
  <c r="CI15" i="2"/>
  <c r="CH15" i="2"/>
  <c r="CE15" i="2"/>
  <c r="R14" i="2"/>
  <c r="R15" i="2"/>
  <c r="DQ14" i="2"/>
  <c r="DP14" i="2"/>
  <c r="DO14" i="2"/>
  <c r="DN14" i="2"/>
  <c r="DK14" i="2"/>
  <c r="DI14" i="2"/>
  <c r="CX14" i="2"/>
  <c r="CN14" i="2"/>
  <c r="CM14" i="2"/>
  <c r="CL14" i="2"/>
  <c r="CK14" i="2"/>
  <c r="CJ14" i="2"/>
  <c r="CI14" i="2"/>
  <c r="CH14" i="2"/>
  <c r="CE14" i="2"/>
  <c r="DQ13" i="2"/>
  <c r="DP13" i="2"/>
  <c r="DO13" i="2"/>
  <c r="DN13" i="2"/>
  <c r="DK13" i="2"/>
  <c r="DI13" i="2"/>
  <c r="CX13" i="2"/>
  <c r="CN13" i="2"/>
  <c r="CM13" i="2"/>
  <c r="CL13" i="2"/>
  <c r="CK13" i="2"/>
  <c r="CJ13" i="2"/>
  <c r="CI13" i="2"/>
  <c r="CH13" i="2"/>
  <c r="CE13" i="2"/>
  <c r="R13" i="2"/>
  <c r="DQ12" i="2"/>
  <c r="DP12" i="2"/>
  <c r="DO12" i="2"/>
  <c r="DN12" i="2"/>
  <c r="DK12" i="2"/>
  <c r="DI12" i="2"/>
  <c r="CX12" i="2"/>
  <c r="CN12" i="2"/>
  <c r="CM12" i="2"/>
  <c r="CL12" i="2"/>
  <c r="CK12" i="2"/>
  <c r="CJ12" i="2"/>
  <c r="CI12" i="2"/>
  <c r="CH12" i="2"/>
  <c r="CE12" i="2"/>
  <c r="R12" i="2"/>
  <c r="DQ11" i="2"/>
  <c r="DP11" i="2"/>
  <c r="DO11" i="2"/>
  <c r="DN11" i="2"/>
  <c r="DK11" i="2"/>
  <c r="DI11" i="2"/>
  <c r="CX11" i="2"/>
  <c r="CN11" i="2"/>
  <c r="CM11" i="2"/>
  <c r="CL11" i="2"/>
  <c r="CK11" i="2"/>
  <c r="CJ11" i="2"/>
  <c r="CI11" i="2"/>
  <c r="CH11" i="2"/>
  <c r="CE11" i="2"/>
  <c r="R10" i="2"/>
  <c r="R11" i="2"/>
  <c r="DQ10" i="2"/>
  <c r="DP10" i="2"/>
  <c r="DO10" i="2"/>
  <c r="DN10" i="2"/>
  <c r="DK10" i="2"/>
  <c r="CX10" i="2"/>
  <c r="CN10" i="2"/>
  <c r="CM10" i="2"/>
  <c r="CL10" i="2"/>
  <c r="CK10" i="2"/>
  <c r="CJ10" i="2"/>
  <c r="CI10" i="2"/>
  <c r="CH10" i="2"/>
  <c r="CE10" i="2"/>
  <c r="DQ9" i="2"/>
  <c r="DP9" i="2"/>
  <c r="DO9" i="2"/>
  <c r="DN9" i="2"/>
  <c r="DK9" i="2"/>
  <c r="CX9" i="2"/>
  <c r="CN9" i="2"/>
  <c r="CM9" i="2"/>
  <c r="CL9" i="2"/>
  <c r="CK9" i="2"/>
  <c r="CJ9" i="2"/>
  <c r="CI9" i="2"/>
  <c r="CH9" i="2"/>
  <c r="R9" i="2"/>
  <c r="DQ8" i="2"/>
  <c r="DP8" i="2"/>
  <c r="DO8" i="2"/>
  <c r="DN8" i="2"/>
  <c r="DK8" i="2"/>
  <c r="CX8" i="2"/>
  <c r="CN8" i="2"/>
  <c r="CM8" i="2"/>
  <c r="CL8" i="2"/>
  <c r="CK8" i="2"/>
  <c r="CJ8" i="2"/>
  <c r="CI8" i="2"/>
  <c r="CH8" i="2"/>
  <c r="R8" i="2"/>
  <c r="DQ7" i="2"/>
  <c r="DP7" i="2"/>
  <c r="DO7" i="2"/>
  <c r="DN7" i="2"/>
  <c r="DK7" i="2"/>
  <c r="CY7" i="2"/>
  <c r="CX7" i="2"/>
  <c r="CW7" i="2"/>
  <c r="CV7" i="2"/>
  <c r="CU7" i="2"/>
  <c r="CT7" i="2"/>
  <c r="CN7" i="2"/>
  <c r="CM7" i="2"/>
  <c r="CL7" i="2"/>
  <c r="CK7" i="2"/>
  <c r="CJ7" i="2"/>
  <c r="CI7" i="2"/>
  <c r="CH7" i="2"/>
  <c r="R7" i="2"/>
  <c r="DQ6" i="2"/>
  <c r="DP6" i="2"/>
  <c r="DO6" i="2"/>
  <c r="DN6" i="2"/>
  <c r="DK6" i="2"/>
  <c r="CY6" i="2"/>
  <c r="CX6" i="2"/>
  <c r="CW6" i="2"/>
  <c r="CV6" i="2"/>
  <c r="CU6" i="2"/>
  <c r="CT6" i="2"/>
  <c r="CN6" i="2"/>
  <c r="CM6" i="2"/>
  <c r="CL6" i="2"/>
  <c r="CK6" i="2"/>
  <c r="CJ6" i="2"/>
  <c r="CI6" i="2"/>
  <c r="CH6" i="2"/>
  <c r="R6" i="2"/>
  <c r="D7" i="1"/>
  <c r="D10" i="1"/>
  <c r="F7" i="1"/>
  <c r="F10" i="1"/>
  <c r="B7" i="1"/>
  <c r="B10" i="1"/>
  <c r="G7" i="1"/>
  <c r="G10" i="1"/>
  <c r="D8" i="1"/>
  <c r="D11" i="1"/>
  <c r="F8" i="1"/>
  <c r="F11" i="1"/>
  <c r="B8" i="1"/>
  <c r="B11" i="1"/>
  <c r="G8" i="1"/>
  <c r="G11" i="1"/>
  <c r="D12" i="1"/>
  <c r="F12" i="1"/>
  <c r="B12" i="1"/>
  <c r="G12" i="1"/>
  <c r="F38" i="1"/>
  <c r="E38" i="1"/>
  <c r="C38" i="1"/>
  <c r="G38" i="1"/>
  <c r="F39" i="1"/>
  <c r="E39" i="1"/>
  <c r="B39" i="1"/>
  <c r="C39" i="1"/>
  <c r="G39" i="1"/>
  <c r="D39" i="1"/>
  <c r="D38" i="1"/>
</calcChain>
</file>

<file path=xl/comments1.xml><?xml version="1.0" encoding="utf-8"?>
<comments xmlns="http://schemas.openxmlformats.org/spreadsheetml/2006/main">
  <authors>
    <author>Michael vd Laan</author>
  </authors>
  <commentList>
    <comment ref="D6" authorId="0">
      <text>
        <r>
          <rPr>
            <b/>
            <sz val="9"/>
            <color indexed="81"/>
            <rFont val="Tahoma"/>
            <charset val="1"/>
          </rPr>
          <t>Michael vd Laan:</t>
        </r>
        <r>
          <rPr>
            <sz val="9"/>
            <color indexed="81"/>
            <rFont val="Tahoma"/>
            <charset val="1"/>
          </rPr>
          <t xml:space="preserve">
Changed from 728 on 28Feb2018</t>
        </r>
      </text>
    </comment>
  </commentList>
</comments>
</file>

<file path=xl/comments2.xml><?xml version="1.0" encoding="utf-8"?>
<comments xmlns="http://schemas.openxmlformats.org/spreadsheetml/2006/main">
  <authors>
    <author>Melake Fessehazion</author>
    <author>user</author>
    <author>Abraham</author>
    <author>Noh</author>
  </authors>
  <commentList>
    <comment ref="L1" authorId="0">
      <text>
        <r>
          <rPr>
            <b/>
            <sz val="9"/>
            <color indexed="81"/>
            <rFont val="Tahoma"/>
            <family val="2"/>
          </rPr>
          <t>Ernesto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Melake/Mpendulo/David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" authorId="0">
      <text>
        <r>
          <rPr>
            <b/>
            <sz val="9"/>
            <color indexed="81"/>
            <rFont val="Tahoma"/>
            <family val="2"/>
          </rPr>
          <t>Melake/Mpendulo/David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" authorId="0">
      <text>
        <r>
          <rPr>
            <b/>
            <sz val="9"/>
            <color indexed="81"/>
            <rFont val="Tahoma"/>
            <family val="2"/>
          </rPr>
          <t>Caren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N1" authorId="0">
      <text>
        <r>
          <rPr>
            <b/>
            <sz val="9"/>
            <color indexed="81"/>
            <rFont val="Tahoma"/>
            <family val="2"/>
          </rPr>
          <t>Melake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Lucerne generally cut in one day
Maize often harvested over more than 1 day</t>
        </r>
      </text>
    </comment>
    <comment ref="O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biomass production dry - above and below ground</t>
        </r>
      </text>
    </comment>
    <comment ref="AD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Above ground, dry</t>
        </r>
      </text>
    </comment>
    <comment ref="AM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 check!!!</t>
        </r>
      </text>
    </comment>
    <comment ref="AN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 check!!!</t>
        </r>
      </text>
    </comment>
    <comment ref="AT2" authorId="2">
      <text>
        <r>
          <rPr>
            <b/>
            <sz val="9"/>
            <color indexed="81"/>
            <rFont val="Tahoma"/>
            <family val="2"/>
          </rPr>
          <t>Abraham:</t>
        </r>
        <r>
          <rPr>
            <sz val="9"/>
            <color indexed="81"/>
            <rFont val="Tahoma"/>
            <family val="2"/>
          </rPr>
          <t xml:space="preserve">
% of days with SWC below 50% and above 100% of TAM.  To be clacuated by Aresti from converted SWC data</t>
        </r>
      </text>
    </comment>
    <comment ref="BF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Above ground dry matter production</t>
        </r>
      </text>
    </comment>
    <comment ref="BN2" authorId="3">
      <text>
        <r>
          <rPr>
            <b/>
            <sz val="8"/>
            <color indexed="81"/>
            <rFont val="Tahoma"/>
            <family val="2"/>
          </rPr>
          <t>Melake: ET estimated using long-term daily average weather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J8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ESTIMATED FROM KC DERIVED</t>
        </r>
      </text>
    </comment>
  </commentList>
</comments>
</file>

<file path=xl/sharedStrings.xml><?xml version="1.0" encoding="utf-8"?>
<sst xmlns="http://schemas.openxmlformats.org/spreadsheetml/2006/main" count="334" uniqueCount="179">
  <si>
    <t>Field estimated yield</t>
  </si>
  <si>
    <t>SEBAL</t>
  </si>
  <si>
    <t>SAPWAT</t>
  </si>
  <si>
    <t>SWB</t>
  </si>
  <si>
    <t>FIELD</t>
  </si>
  <si>
    <t>KCETO</t>
  </si>
  <si>
    <t>ET(SWC)</t>
  </si>
  <si>
    <t>mm rain</t>
  </si>
  <si>
    <t>mm irrigation</t>
  </si>
  <si>
    <t>Blue WF (mm/kg)</t>
  </si>
  <si>
    <t>Green WF (mm/kg)</t>
  </si>
  <si>
    <t>Blue WF (m3/ton)</t>
  </si>
  <si>
    <t>Green WF (m3/ton)</t>
  </si>
  <si>
    <t>Total (m3/ton)</t>
  </si>
  <si>
    <t>ET</t>
  </si>
  <si>
    <t>MAX</t>
  </si>
  <si>
    <t xml:space="preserve">MIN </t>
  </si>
  <si>
    <t>Average</t>
  </si>
  <si>
    <t>Std dev</t>
  </si>
  <si>
    <t>CROPWAT</t>
  </si>
  <si>
    <t>5th</t>
  </si>
  <si>
    <t>25th</t>
  </si>
  <si>
    <t>50th</t>
  </si>
  <si>
    <t>75th</t>
  </si>
  <si>
    <t>95th</t>
  </si>
  <si>
    <t>Taaibosch</t>
  </si>
  <si>
    <t>-</t>
  </si>
  <si>
    <t>Maize</t>
  </si>
  <si>
    <t>C4</t>
  </si>
  <si>
    <t xml:space="preserve"> 24/12</t>
  </si>
  <si>
    <t xml:space="preserve"> 31/12</t>
  </si>
  <si>
    <t xml:space="preserve"> 07/01</t>
  </si>
  <si>
    <t xml:space="preserve"> 14/01</t>
  </si>
  <si>
    <t xml:space="preserve"> 21/01</t>
  </si>
  <si>
    <t xml:space="preserve"> 28/01</t>
  </si>
  <si>
    <t xml:space="preserve"> 04/02</t>
  </si>
  <si>
    <t>3.31</t>
  </si>
  <si>
    <t xml:space="preserve"> 11/02</t>
  </si>
  <si>
    <t xml:space="preserve"> 18/02</t>
  </si>
  <si>
    <t xml:space="preserve"> 25/02</t>
  </si>
  <si>
    <t xml:space="preserve"> 04/03</t>
  </si>
  <si>
    <t xml:space="preserve"> 11/03</t>
  </si>
  <si>
    <t xml:space="preserve"> 18/03</t>
  </si>
  <si>
    <t xml:space="preserve"> 25/03</t>
  </si>
  <si>
    <t>2.34</t>
  </si>
  <si>
    <t xml:space="preserve"> 01/04</t>
  </si>
  <si>
    <t xml:space="preserve"> 08/04</t>
  </si>
  <si>
    <t>T</t>
  </si>
  <si>
    <t>Field values</t>
  </si>
  <si>
    <t>ET measurment</t>
  </si>
  <si>
    <t>GWK information</t>
  </si>
  <si>
    <t xml:space="preserve">ARC AWS De Hoek </t>
  </si>
  <si>
    <t>Co-ordinates</t>
  </si>
  <si>
    <t>CORRESPONDING ET VALUES</t>
  </si>
  <si>
    <t>CORRESPONDING ACCUMULATED ET VALUES</t>
  </si>
  <si>
    <t>APPROACH 1</t>
  </si>
  <si>
    <t>Approach 2</t>
  </si>
  <si>
    <t>kcETo</t>
  </si>
  <si>
    <t xml:space="preserve"> Start date of the week</t>
  </si>
  <si>
    <t>End date of the week</t>
  </si>
  <si>
    <t>Farm name</t>
  </si>
  <si>
    <t>Field no.</t>
  </si>
  <si>
    <t>Winter crop</t>
  </si>
  <si>
    <t>Summer crop</t>
  </si>
  <si>
    <t>C3/C4</t>
  </si>
  <si>
    <t>Plant date</t>
  </si>
  <si>
    <t>Harvest date</t>
  </si>
  <si>
    <t>Acc ET</t>
  </si>
  <si>
    <t>Etdef</t>
  </si>
  <si>
    <t>Biomass prod (C3)</t>
  </si>
  <si>
    <t>Biomass prod (adj C4)</t>
  </si>
  <si>
    <t xml:space="preserve">Acc Biomass prod </t>
  </si>
  <si>
    <t>Biomass from first sample (c3)</t>
  </si>
  <si>
    <t>Biomass from first sample (C4)</t>
  </si>
  <si>
    <t>Yield t/ha</t>
  </si>
  <si>
    <t>Canopy cover (%)</t>
  </si>
  <si>
    <t>LAI</t>
  </si>
  <si>
    <t>BWUE</t>
  </si>
  <si>
    <t>N total in leaves</t>
  </si>
  <si>
    <t>N in upper leaf layer</t>
  </si>
  <si>
    <t>Etdeff</t>
  </si>
  <si>
    <r>
      <t xml:space="preserve">Biomass </t>
    </r>
    <r>
      <rPr>
        <sz val="9"/>
        <color rgb="FFFF0000"/>
        <rFont val="Calibri"/>
        <family val="2"/>
        <scheme val="minor"/>
      </rPr>
      <t>(total above ground)</t>
    </r>
  </si>
  <si>
    <t>Biom ACC</t>
  </si>
  <si>
    <t>Yield</t>
  </si>
  <si>
    <t xml:space="preserve">Stress index (weekly average) </t>
  </si>
  <si>
    <t>Biom ACC from first sample</t>
  </si>
  <si>
    <t>HI</t>
  </si>
  <si>
    <t>Rain</t>
  </si>
  <si>
    <t>Irrig</t>
  </si>
  <si>
    <t>Irrig+Rain from SWC/ kc*Eto</t>
  </si>
  <si>
    <t>PAW (SWC)</t>
  </si>
  <si>
    <t>ET from SWC</t>
  </si>
  <si>
    <t>Acc ET from SWC</t>
  </si>
  <si>
    <t>ET est. (kcETo)</t>
  </si>
  <si>
    <t xml:space="preserve">Stress index (weekly %count): </t>
  </si>
  <si>
    <t>Biomass t/ha</t>
  </si>
  <si>
    <t>Canopy cover</t>
  </si>
  <si>
    <t>LAI (destractive)</t>
  </si>
  <si>
    <t>LAI (Ceptometer)</t>
  </si>
  <si>
    <t>Crop height</t>
  </si>
  <si>
    <t>Stomatal condactance</t>
  </si>
  <si>
    <t>SAPD readings</t>
  </si>
  <si>
    <t xml:space="preserve">Leaf N conc. </t>
  </si>
  <si>
    <t>Grain yield t/ha</t>
  </si>
  <si>
    <t>Biomass kg/ha</t>
  </si>
  <si>
    <t>Biomass sample no</t>
  </si>
  <si>
    <t>Harvester yield</t>
  </si>
  <si>
    <t>ET from swc+rain corrected</t>
  </si>
  <si>
    <t>ET (EC)</t>
  </si>
  <si>
    <t>Acc ET (EC)</t>
  </si>
  <si>
    <t>Corresponding SEBAL</t>
  </si>
  <si>
    <t>Canopy cover %</t>
  </si>
  <si>
    <t>Date</t>
  </si>
  <si>
    <t>SWC</t>
  </si>
  <si>
    <t>UpperSWC mm</t>
  </si>
  <si>
    <t>LowerSWC mm</t>
  </si>
  <si>
    <t>Soil depth mm</t>
  </si>
  <si>
    <t>Suplus / deficit mm</t>
  </si>
  <si>
    <t>kcEto estimate mm</t>
  </si>
  <si>
    <t>Irrig recomm mm</t>
  </si>
  <si>
    <t>Raingauge mm</t>
  </si>
  <si>
    <t>N leaf %</t>
  </si>
  <si>
    <t>kcETo planting date</t>
  </si>
  <si>
    <t>Ta</t>
  </si>
  <si>
    <t>Rh</t>
  </si>
  <si>
    <t>vpd</t>
  </si>
  <si>
    <t>Rs</t>
  </si>
  <si>
    <t>Eto</t>
  </si>
  <si>
    <t>u</t>
  </si>
  <si>
    <t>E</t>
  </si>
  <si>
    <t>S</t>
  </si>
  <si>
    <t>GWK REC</t>
  </si>
  <si>
    <t>SEBAL CC</t>
  </si>
  <si>
    <t>SEBAL BIO C3 Total kg/ha</t>
  </si>
  <si>
    <t>SEBAL C3 ADM kg/ha</t>
  </si>
  <si>
    <t>SEBAL BIO C4 Total kg/ha</t>
  </si>
  <si>
    <t>SEBAL C4 ADM kg/ha</t>
  </si>
  <si>
    <t>ADM Meas kg ha-1</t>
  </si>
  <si>
    <t>MeasCC</t>
  </si>
  <si>
    <t>SWB ADM kg/ha</t>
  </si>
  <si>
    <t>SWB CC</t>
  </si>
  <si>
    <t>Measurement</t>
  </si>
  <si>
    <t>Acc SEBAL ADM C3 kg</t>
  </si>
  <si>
    <t>AccSEBALADM C4</t>
  </si>
  <si>
    <t>Acc SEBAL C4 ADM Entire</t>
  </si>
  <si>
    <t>Field estimated grain t/ha</t>
  </si>
  <si>
    <t>HI (grain estimate)</t>
  </si>
  <si>
    <t>HI recalculated</t>
  </si>
  <si>
    <t>Combine harvester dry yield t/ha</t>
  </si>
  <si>
    <t>C3 SEBAL BIO ACC kg/ha</t>
  </si>
  <si>
    <t>SEBAL Etdef acc</t>
  </si>
  <si>
    <t>New data from Dup (Koos Snyman)</t>
  </si>
  <si>
    <t>Etdef_acc</t>
  </si>
  <si>
    <t>Etdef/ET</t>
  </si>
  <si>
    <t>ET/Week</t>
  </si>
  <si>
    <t>Acc Et</t>
  </si>
  <si>
    <t xml:space="preserve">Percentile </t>
  </si>
  <si>
    <t>10,5</t>
  </si>
  <si>
    <t>14,6</t>
  </si>
  <si>
    <t>15,7</t>
  </si>
  <si>
    <t>16,7</t>
  </si>
  <si>
    <t>18,0</t>
  </si>
  <si>
    <t>Yield (tonne ha-1)</t>
  </si>
  <si>
    <t>monthyl</t>
  </si>
  <si>
    <t>volume</t>
  </si>
  <si>
    <t>million</t>
  </si>
  <si>
    <t>cubic</t>
  </si>
  <si>
    <t>metres</t>
  </si>
  <si>
    <t>Dec</t>
  </si>
  <si>
    <t>Jan</t>
  </si>
  <si>
    <t>Feb</t>
  </si>
  <si>
    <t>Mar</t>
  </si>
  <si>
    <t>Apr</t>
  </si>
  <si>
    <t>May</t>
  </si>
  <si>
    <t>l/s</t>
  </si>
  <si>
    <t>River</t>
  </si>
  <si>
    <t>kg/ha/mm</t>
  </si>
  <si>
    <t>tonne/m3</t>
  </si>
  <si>
    <t xml:space="preserve">SEBAL extremes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</si>
</sst>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yyyy\-mm\-dd;@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9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0" fillId="0" borderId="0" xfId="0" applyNumberFormat="1"/>
    <xf numFmtId="0" fontId="3" fillId="3" borderId="0" xfId="2"/>
    <xf numFmtId="1" fontId="3" fillId="3" borderId="0" xfId="2" applyNumberFormat="1"/>
    <xf numFmtId="0" fontId="2" fillId="2" borderId="0" xfId="1"/>
    <xf numFmtId="1" fontId="2" fillId="2" borderId="0" xfId="1" applyNumberFormat="1"/>
    <xf numFmtId="0" fontId="4" fillId="4" borderId="0" xfId="3"/>
    <xf numFmtId="1" fontId="4" fillId="4" borderId="0" xfId="3" applyNumberFormat="1"/>
    <xf numFmtId="0" fontId="0" fillId="5" borderId="0" xfId="0" applyFill="1"/>
    <xf numFmtId="1" fontId="0" fillId="5" borderId="0" xfId="0" applyNumberFormat="1" applyFill="1"/>
    <xf numFmtId="0" fontId="7" fillId="0" borderId="0" xfId="0" applyFont="1" applyFill="1" applyBorder="1" applyAlignment="1">
      <alignment horizontal="center"/>
    </xf>
    <xf numFmtId="0" fontId="0" fillId="6" borderId="0" xfId="0" applyFill="1"/>
    <xf numFmtId="0" fontId="8" fillId="7" borderId="1" xfId="4"/>
    <xf numFmtId="1" fontId="8" fillId="7" borderId="1" xfId="4" applyNumberFormat="1"/>
    <xf numFmtId="0" fontId="11" fillId="0" borderId="0" xfId="0" applyFont="1"/>
    <xf numFmtId="1" fontId="11" fillId="0" borderId="0" xfId="0" applyNumberFormat="1" applyFont="1"/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5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5" fontId="5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2" fontId="6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/>
    </xf>
    <xf numFmtId="164" fontId="5" fillId="8" borderId="0" xfId="0" applyNumberFormat="1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Border="1" applyAlignment="1">
      <alignment horizontal="center" wrapText="1"/>
    </xf>
    <xf numFmtId="2" fontId="5" fillId="9" borderId="0" xfId="0" applyNumberFormat="1" applyFont="1" applyFill="1" applyBorder="1" applyAlignment="1">
      <alignment horizontal="center" wrapText="1"/>
    </xf>
    <xf numFmtId="49" fontId="5" fillId="10" borderId="0" xfId="0" applyNumberFormat="1" applyFont="1" applyFill="1" applyBorder="1" applyAlignment="1">
      <alignment horizontal="center" wrapText="1"/>
    </xf>
    <xf numFmtId="49" fontId="6" fillId="11" borderId="0" xfId="0" applyNumberFormat="1" applyFont="1" applyFill="1" applyBorder="1" applyAlignment="1">
      <alignment horizontal="center" wrapText="1"/>
    </xf>
    <xf numFmtId="164" fontId="6" fillId="11" borderId="0" xfId="0" applyNumberFormat="1" applyFont="1" applyFill="1" applyBorder="1" applyAlignment="1">
      <alignment horizontal="center" wrapText="1"/>
    </xf>
    <xf numFmtId="164" fontId="5" fillId="11" borderId="0" xfId="0" applyNumberFormat="1" applyFont="1" applyFill="1" applyBorder="1" applyAlignment="1">
      <alignment horizontal="center" wrapText="1"/>
    </xf>
    <xf numFmtId="49" fontId="5" fillId="11" borderId="0" xfId="0" applyNumberFormat="1" applyFont="1" applyFill="1" applyBorder="1" applyAlignment="1">
      <alignment horizontal="center" wrapText="1"/>
    </xf>
    <xf numFmtId="0" fontId="5" fillId="11" borderId="0" xfId="0" applyFont="1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49" fontId="5" fillId="12" borderId="0" xfId="0" applyNumberFormat="1" applyFont="1" applyFill="1" applyBorder="1" applyAlignment="1">
      <alignment horizontal="center" wrapText="1"/>
    </xf>
    <xf numFmtId="0" fontId="5" fillId="12" borderId="0" xfId="0" applyFont="1" applyFill="1" applyBorder="1" applyAlignment="1">
      <alignment horizontal="center"/>
    </xf>
    <xf numFmtId="0" fontId="5" fillId="8" borderId="0" xfId="0" applyNumberFormat="1" applyFont="1" applyFill="1" applyBorder="1" applyAlignment="1">
      <alignment horizontal="center" wrapText="1"/>
    </xf>
    <xf numFmtId="164" fontId="5" fillId="8" borderId="0" xfId="0" applyNumberFormat="1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13" fillId="9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7" fillId="9" borderId="0" xfId="0" applyFont="1" applyFill="1" applyBorder="1" applyAlignment="1">
      <alignment horizontal="center"/>
    </xf>
    <xf numFmtId="0" fontId="17" fillId="10" borderId="0" xfId="0" applyFont="1" applyFill="1" applyBorder="1" applyAlignment="1">
      <alignment horizontal="center"/>
    </xf>
    <xf numFmtId="164" fontId="18" fillId="11" borderId="0" xfId="0" applyNumberFormat="1" applyFont="1" applyFill="1" applyBorder="1" applyAlignment="1">
      <alignment horizontal="center"/>
    </xf>
    <xf numFmtId="164" fontId="17" fillId="11" borderId="0" xfId="0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15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/>
    </xf>
    <xf numFmtId="164" fontId="13" fillId="6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64" fontId="5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164" fontId="13" fillId="6" borderId="0" xfId="0" applyNumberFormat="1" applyFont="1" applyFill="1" applyBorder="1" applyAlignment="1">
      <alignment horizontal="center" wrapText="1"/>
    </xf>
    <xf numFmtId="0" fontId="5" fillId="6" borderId="0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/>
    <xf numFmtId="0" fontId="5" fillId="13" borderId="0" xfId="0" applyFont="1" applyFill="1" applyBorder="1" applyAlignment="1">
      <alignment horizontal="center"/>
    </xf>
  </cellXfs>
  <cellStyles count="87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47972025532"/>
          <c:y val="5.9135785851584799E-2"/>
          <c:w val="0.86336589822688903"/>
          <c:h val="0.815002232348078"/>
        </c:manualLayout>
      </c:layout>
      <c:barChart>
        <c:barDir val="col"/>
        <c:grouping val="clustered"/>
        <c:varyColors val="0"/>
        <c:ser>
          <c:idx val="1"/>
          <c:order val="0"/>
          <c:tx>
            <c:v>Median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2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dPt>
          <c:dLbls>
            <c:dLbl>
              <c:idx val="0"/>
              <c:layout>
                <c:manualLayout>
                  <c:x val="2.3085799433967699E-2"/>
                  <c:y val="-1.569066550130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46746138369901E-2"/>
                  <c:y val="-8.218825079926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085799433967699E-2"/>
                  <c:y val="4.483047286088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0857994339678E-2"/>
                  <c:y val="-8.218825079926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929586251576301E-2"/>
                  <c:y val="-1.1207618215221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468639547173999E-2"/>
                  <c:y val="-4.4830472860885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Sheet1!$B$39:$G$39</c:f>
                <c:numCache>
                  <c:formatCode>General</c:formatCode>
                  <c:ptCount val="6"/>
                  <c:pt idx="0">
                    <c:v>94.61216538741688</c:v>
                  </c:pt>
                  <c:pt idx="1">
                    <c:v>101.10744369841156</c:v>
                  </c:pt>
                  <c:pt idx="2">
                    <c:v>111.750332508771</c:v>
                  </c:pt>
                  <c:pt idx="3">
                    <c:v>101.10744369841156</c:v>
                  </c:pt>
                  <c:pt idx="4">
                    <c:v>96.568564646934888</c:v>
                  </c:pt>
                  <c:pt idx="5">
                    <c:v>95.159947010269931</c:v>
                  </c:pt>
                </c:numCache>
              </c:numRef>
            </c:plus>
            <c:minus>
              <c:numRef>
                <c:f>Sheet1!$B$39:$G$39</c:f>
                <c:numCache>
                  <c:formatCode>General</c:formatCode>
                  <c:ptCount val="6"/>
                  <c:pt idx="0">
                    <c:v>94.61216538741688</c:v>
                  </c:pt>
                  <c:pt idx="1">
                    <c:v>101.10744369841156</c:v>
                  </c:pt>
                  <c:pt idx="2">
                    <c:v>111.750332508771</c:v>
                  </c:pt>
                  <c:pt idx="3">
                    <c:v>101.10744369841156</c:v>
                  </c:pt>
                  <c:pt idx="4">
                    <c:v>96.568564646934888</c:v>
                  </c:pt>
                  <c:pt idx="5">
                    <c:v>95.159947010269931</c:v>
                  </c:pt>
                </c:numCache>
              </c:numRef>
            </c:minus>
          </c:errBars>
          <c:cat>
            <c:strRef>
              <c:f>Sheet1!$B$5:$I$5</c:f>
              <c:strCache>
                <c:ptCount val="8"/>
                <c:pt idx="0">
                  <c:v>FIELD</c:v>
                </c:pt>
                <c:pt idx="1">
                  <c:v>ET(SWC)</c:v>
                </c:pt>
                <c:pt idx="2">
                  <c:v>SEBAL</c:v>
                </c:pt>
                <c:pt idx="3">
                  <c:v>SWB</c:v>
                </c:pt>
                <c:pt idx="4">
                  <c:v>SAPWAT</c:v>
                </c:pt>
                <c:pt idx="5">
                  <c:v>CROPWAT</c:v>
                </c:pt>
                <c:pt idx="6">
                  <c:v>MAX</c:v>
                </c:pt>
                <c:pt idx="7">
                  <c:v>MIN </c:v>
                </c:pt>
              </c:strCache>
            </c:strRef>
          </c:cat>
          <c:val>
            <c:numRef>
              <c:f>Sheet1!$B$27:$I$27</c:f>
              <c:numCache>
                <c:formatCode>0</c:formatCode>
                <c:ptCount val="8"/>
                <c:pt idx="0">
                  <c:v>385.03190461553453</c:v>
                </c:pt>
                <c:pt idx="1">
                  <c:v>411.46496815286628</c:v>
                </c:pt>
                <c:pt idx="2">
                  <c:v>454.77707006369428</c:v>
                </c:pt>
                <c:pt idx="3">
                  <c:v>411.46496815286628</c:v>
                </c:pt>
                <c:pt idx="4">
                  <c:v>392.99363057324842</c:v>
                </c:pt>
                <c:pt idx="5">
                  <c:v>387.26114649681529</c:v>
                </c:pt>
                <c:pt idx="6" formatCode="General">
                  <c:v>680</c:v>
                </c:pt>
                <c:pt idx="7" formatCode="General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70304"/>
        <c:axId val="85976576"/>
      </c:barChart>
      <c:catAx>
        <c:axId val="8597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Evapotranspiration estimation method</a:t>
                </a:r>
              </a:p>
            </c:rich>
          </c:tx>
          <c:layout>
            <c:manualLayout>
              <c:xMode val="edge"/>
              <c:yMode val="edge"/>
              <c:x val="0.36164998888597499"/>
              <c:y val="0.92384098684930505"/>
            </c:manualLayout>
          </c:layout>
          <c:overlay val="0"/>
        </c:title>
        <c:majorTickMark val="out"/>
        <c:minorTickMark val="none"/>
        <c:tickLblPos val="nextTo"/>
        <c:crossAx val="85976576"/>
        <c:crosses val="autoZero"/>
        <c:auto val="1"/>
        <c:lblAlgn val="ctr"/>
        <c:lblOffset val="100"/>
        <c:noMultiLvlLbl val="0"/>
      </c:catAx>
      <c:valAx>
        <c:axId val="8597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Blue + green water</a:t>
                </a:r>
                <a:r>
                  <a:rPr lang="en-US" sz="2000" baseline="0"/>
                  <a:t> footprint </a:t>
                </a:r>
                <a:r>
                  <a:rPr lang="en-US" sz="2000"/>
                  <a:t> (m3</a:t>
                </a:r>
                <a:r>
                  <a:rPr lang="en-US" sz="2000" baseline="0"/>
                  <a:t> </a:t>
                </a:r>
                <a:r>
                  <a:rPr lang="en-US" sz="2000"/>
                  <a:t>tonne</a:t>
                </a:r>
                <a:r>
                  <a:rPr lang="en-US" sz="2400" baseline="30000"/>
                  <a:t>-1</a:t>
                </a:r>
                <a:r>
                  <a:rPr lang="en-US" sz="2000"/>
                  <a:t>)</a:t>
                </a:r>
              </a:p>
            </c:rich>
          </c:tx>
          <c:layout>
            <c:manualLayout>
              <c:xMode val="edge"/>
              <c:yMode val="edge"/>
              <c:x val="1.0867534046403801E-2"/>
              <c:y val="8.0860935696687605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8597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6843921727918"/>
          <c:y val="4.5043261180237187E-2"/>
          <c:w val="0.85347480642144902"/>
          <c:h val="0.86219776872722897"/>
        </c:manualLayout>
      </c:layout>
      <c:barChart>
        <c:barDir val="col"/>
        <c:grouping val="clustered"/>
        <c:varyColors val="0"/>
        <c:ser>
          <c:idx val="5"/>
          <c:order val="0"/>
          <c:tx>
            <c:v>CROPWAT</c:v>
          </c:tx>
          <c:spPr>
            <a:solidFill>
              <a:schemeClr val="tx1"/>
            </a:solidFill>
          </c:spPr>
          <c:invertIfNegative val="0"/>
          <c:cat>
            <c:strRef>
              <c:f>Sheet1!$A$49:$A$53</c:f>
              <c:strCache>
                <c:ptCount val="5"/>
                <c:pt idx="0">
                  <c:v>95th</c:v>
                </c:pt>
                <c:pt idx="1">
                  <c:v>75th</c:v>
                </c:pt>
                <c:pt idx="2">
                  <c:v>50th</c:v>
                </c:pt>
                <c:pt idx="3">
                  <c:v>25th</c:v>
                </c:pt>
                <c:pt idx="4">
                  <c:v>5th</c:v>
                </c:pt>
              </c:strCache>
            </c:strRef>
          </c:cat>
          <c:val>
            <c:numRef>
              <c:f>(Sheet1!$G$36,Sheet1!$G$32,Sheet1!$G$27,Sheet1!$G$22,Sheet1!$G$17)</c:f>
              <c:numCache>
                <c:formatCode>0</c:formatCode>
                <c:ptCount val="5"/>
                <c:pt idx="0">
                  <c:v>337.77777777777777</c:v>
                </c:pt>
                <c:pt idx="1">
                  <c:v>364.07185628742519</c:v>
                </c:pt>
                <c:pt idx="2">
                  <c:v>387.26114649681529</c:v>
                </c:pt>
                <c:pt idx="3">
                  <c:v>416.43835616438355</c:v>
                </c:pt>
                <c:pt idx="4">
                  <c:v>579.04761904761904</c:v>
                </c:pt>
              </c:numCache>
            </c:numRef>
          </c:val>
        </c:ser>
        <c:ser>
          <c:idx val="4"/>
          <c:order val="1"/>
          <c:tx>
            <c:v>SAPWAT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Sheet1!$A$49:$A$53</c:f>
              <c:strCache>
                <c:ptCount val="5"/>
                <c:pt idx="0">
                  <c:v>95th</c:v>
                </c:pt>
                <c:pt idx="1">
                  <c:v>75th</c:v>
                </c:pt>
                <c:pt idx="2">
                  <c:v>50th</c:v>
                </c:pt>
                <c:pt idx="3">
                  <c:v>25th</c:v>
                </c:pt>
                <c:pt idx="4">
                  <c:v>5th</c:v>
                </c:pt>
              </c:strCache>
            </c:strRef>
          </c:cat>
          <c:val>
            <c:numRef>
              <c:f>(Sheet1!$F$36,Sheet1!$F$32,Sheet1!$F$27,Sheet1!$F$22,Sheet1!$F$17)</c:f>
              <c:numCache>
                <c:formatCode>0</c:formatCode>
                <c:ptCount val="5"/>
                <c:pt idx="0">
                  <c:v>342.77777777777777</c:v>
                </c:pt>
                <c:pt idx="1">
                  <c:v>369.46107784431138</c:v>
                </c:pt>
                <c:pt idx="2">
                  <c:v>392.99363057324842</c:v>
                </c:pt>
                <c:pt idx="3">
                  <c:v>422.60273972602744</c:v>
                </c:pt>
                <c:pt idx="4">
                  <c:v>587.61904761904771</c:v>
                </c:pt>
              </c:numCache>
            </c:numRef>
          </c:val>
        </c:ser>
        <c:ser>
          <c:idx val="3"/>
          <c:order val="2"/>
          <c:tx>
            <c:v>SWB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Sheet1!$A$49:$A$53</c:f>
              <c:strCache>
                <c:ptCount val="5"/>
                <c:pt idx="0">
                  <c:v>95th</c:v>
                </c:pt>
                <c:pt idx="1">
                  <c:v>75th</c:v>
                </c:pt>
                <c:pt idx="2">
                  <c:v>50th</c:v>
                </c:pt>
                <c:pt idx="3">
                  <c:v>25th</c:v>
                </c:pt>
                <c:pt idx="4">
                  <c:v>5th</c:v>
                </c:pt>
              </c:strCache>
            </c:strRef>
          </c:cat>
          <c:val>
            <c:numRef>
              <c:f>(Sheet1!$E$36,Sheet1!$E$32,Sheet1!$E$27,Sheet1!$E$22,Sheet1!$E$17)</c:f>
              <c:numCache>
                <c:formatCode>0</c:formatCode>
                <c:ptCount val="5"/>
                <c:pt idx="0">
                  <c:v>358.88888888888886</c:v>
                </c:pt>
                <c:pt idx="1">
                  <c:v>386.82634730538922</c:v>
                </c:pt>
                <c:pt idx="2">
                  <c:v>411.46496815286628</c:v>
                </c:pt>
                <c:pt idx="3">
                  <c:v>442.46575342465752</c:v>
                </c:pt>
                <c:pt idx="4">
                  <c:v>615.23809523809518</c:v>
                </c:pt>
              </c:numCache>
            </c:numRef>
          </c:val>
        </c:ser>
        <c:ser>
          <c:idx val="2"/>
          <c:order val="3"/>
          <c:tx>
            <c:v>SEBAL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Sheet1!$A$49:$A$53</c:f>
              <c:strCache>
                <c:ptCount val="5"/>
                <c:pt idx="0">
                  <c:v>95th</c:v>
                </c:pt>
                <c:pt idx="1">
                  <c:v>75th</c:v>
                </c:pt>
                <c:pt idx="2">
                  <c:v>50th</c:v>
                </c:pt>
                <c:pt idx="3">
                  <c:v>25th</c:v>
                </c:pt>
                <c:pt idx="4">
                  <c:v>5th</c:v>
                </c:pt>
              </c:strCache>
            </c:strRef>
          </c:cat>
          <c:val>
            <c:numRef>
              <c:f>(Sheet1!$D$36,Sheet1!$D$32,Sheet1!$D$27,Sheet1!$D$22,Sheet1!$D$17)</c:f>
              <c:numCache>
                <c:formatCode>0</c:formatCode>
                <c:ptCount val="5"/>
                <c:pt idx="0">
                  <c:v>396.66666666666663</c:v>
                </c:pt>
                <c:pt idx="1">
                  <c:v>427.54491017964074</c:v>
                </c:pt>
                <c:pt idx="2">
                  <c:v>454.77707006369428</c:v>
                </c:pt>
                <c:pt idx="3">
                  <c:v>489.04109589041093</c:v>
                </c:pt>
                <c:pt idx="4">
                  <c:v>680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217664"/>
        <c:axId val="87219584"/>
      </c:barChart>
      <c:catAx>
        <c:axId val="87217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Combine harvester yield percentile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7219584"/>
        <c:crosses val="autoZero"/>
        <c:auto val="1"/>
        <c:lblAlgn val="ctr"/>
        <c:lblOffset val="100"/>
        <c:noMultiLvlLbl val="0"/>
      </c:catAx>
      <c:valAx>
        <c:axId val="87219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Maize grain blue + green water footprint (m</a:t>
                </a:r>
                <a:r>
                  <a:rPr lang="en-US" sz="1200" baseline="30000"/>
                  <a:t>3</a:t>
                </a:r>
                <a:r>
                  <a:rPr lang="en-US" sz="1200"/>
                  <a:t> tonne</a:t>
                </a:r>
                <a:r>
                  <a:rPr lang="en-US" sz="1200" baseline="30000"/>
                  <a:t>-1</a:t>
                </a:r>
                <a:r>
                  <a:rPr lang="en-US" sz="1200"/>
                  <a:t>)</a:t>
                </a:r>
              </a:p>
            </c:rich>
          </c:tx>
          <c:layout>
            <c:manualLayout>
              <c:xMode val="edge"/>
              <c:yMode val="edge"/>
              <c:x val="1.33585557619694E-2"/>
              <c:y val="9.4362649232802395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872176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7522483084939289"/>
          <c:y val="3.8861954265101771E-2"/>
          <c:w val="0.26436274578823299"/>
          <c:h val="0.286673030160296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26750372419595E-2"/>
          <c:y val="5.9060402684563702E-2"/>
          <c:w val="0.87541830708661394"/>
          <c:h val="0.71450573376314497"/>
        </c:manualLayout>
      </c:layout>
      <c:lineChart>
        <c:grouping val="standard"/>
        <c:varyColors val="0"/>
        <c:ser>
          <c:idx val="3"/>
          <c:order val="0"/>
          <c:tx>
            <c:v>Eddy covariance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val>
          <c:smooth val="0"/>
        </c:ser>
        <c:ser>
          <c:idx val="4"/>
          <c:order val="1"/>
          <c:tx>
            <c:v>Soil water accounting</c:v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graphs'!$AQ$7:$AQ$31</c:f>
              <c:numCache>
                <c:formatCode>0.0</c:formatCode>
                <c:ptCount val="25"/>
                <c:pt idx="2">
                  <c:v>8.9955754399999837</c:v>
                </c:pt>
                <c:pt idx="3">
                  <c:v>30.730344054999996</c:v>
                </c:pt>
                <c:pt idx="4">
                  <c:v>39.205937060000018</c:v>
                </c:pt>
                <c:pt idx="5">
                  <c:v>48.215224164999988</c:v>
                </c:pt>
                <c:pt idx="6">
                  <c:v>42.052373414999984</c:v>
                </c:pt>
                <c:pt idx="7">
                  <c:v>57.971243580000007</c:v>
                </c:pt>
                <c:pt idx="8">
                  <c:v>61.444456004999992</c:v>
                </c:pt>
                <c:pt idx="9">
                  <c:v>59.099067160000004</c:v>
                </c:pt>
                <c:pt idx="10">
                  <c:v>61.703311369999994</c:v>
                </c:pt>
                <c:pt idx="11">
                  <c:v>51.007125945000006</c:v>
                </c:pt>
                <c:pt idx="12">
                  <c:v>51.765967154999977</c:v>
                </c:pt>
                <c:pt idx="13">
                  <c:v>44.831456260000024</c:v>
                </c:pt>
                <c:pt idx="14">
                  <c:v>45.969840994999984</c:v>
                </c:pt>
                <c:pt idx="15">
                  <c:v>39.082627100000011</c:v>
                </c:pt>
                <c:pt idx="16">
                  <c:v>21.237881514999998</c:v>
                </c:pt>
                <c:pt idx="17">
                  <c:v>20.197862485000002</c:v>
                </c:pt>
              </c:numCache>
            </c:numRef>
          </c:val>
          <c:smooth val="0"/>
        </c:ser>
        <c:ser>
          <c:idx val="0"/>
          <c:order val="2"/>
          <c:tx>
            <c:v>SEBAL</c:v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graphs'!$L$7:$L$31</c:f>
              <c:numCache>
                <c:formatCode>General</c:formatCode>
                <c:ptCount val="25"/>
                <c:pt idx="0">
                  <c:v>13.7799999999999</c:v>
                </c:pt>
                <c:pt idx="1">
                  <c:v>22.579999999999899</c:v>
                </c:pt>
                <c:pt idx="2">
                  <c:v>21.739999999999899</c:v>
                </c:pt>
                <c:pt idx="3">
                  <c:v>45.009999999999899</c:v>
                </c:pt>
                <c:pt idx="4">
                  <c:v>51.81</c:v>
                </c:pt>
                <c:pt idx="5">
                  <c:v>53.2899999999999</c:v>
                </c:pt>
                <c:pt idx="6">
                  <c:v>41.7899999999999</c:v>
                </c:pt>
                <c:pt idx="7">
                  <c:v>49.299999999999898</c:v>
                </c:pt>
                <c:pt idx="8">
                  <c:v>48.56</c:v>
                </c:pt>
                <c:pt idx="9">
                  <c:v>42.99</c:v>
                </c:pt>
                <c:pt idx="10">
                  <c:v>44.409999999999897</c:v>
                </c:pt>
                <c:pt idx="11">
                  <c:v>37.57</c:v>
                </c:pt>
                <c:pt idx="12">
                  <c:v>41.5</c:v>
                </c:pt>
                <c:pt idx="13">
                  <c:v>40.149999999999899</c:v>
                </c:pt>
                <c:pt idx="14">
                  <c:v>42</c:v>
                </c:pt>
                <c:pt idx="15">
                  <c:v>30.829999999999899</c:v>
                </c:pt>
                <c:pt idx="16">
                  <c:v>14.49</c:v>
                </c:pt>
                <c:pt idx="17">
                  <c:v>22.44</c:v>
                </c:pt>
                <c:pt idx="18">
                  <c:v>25.239999999999899</c:v>
                </c:pt>
                <c:pt idx="19">
                  <c:v>15.4</c:v>
                </c:pt>
                <c:pt idx="20">
                  <c:v>9.1300000000000008</c:v>
                </c:pt>
                <c:pt idx="21">
                  <c:v>13.92</c:v>
                </c:pt>
                <c:pt idx="22">
                  <c:v>7.5199999999999898</c:v>
                </c:pt>
                <c:pt idx="23">
                  <c:v>5.1100000000000003</c:v>
                </c:pt>
                <c:pt idx="24">
                  <c:v>5.65</c:v>
                </c:pt>
              </c:numCache>
            </c:numRef>
          </c:val>
          <c:smooth val="0"/>
        </c:ser>
        <c:ser>
          <c:idx val="1"/>
          <c:order val="3"/>
          <c:tx>
            <c:v>SWB</c:v>
          </c:tx>
          <c:spPr>
            <a:ln w="349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graphs'!$AA$7:$AA$31</c:f>
              <c:numCache>
                <c:formatCode>General</c:formatCode>
                <c:ptCount val="25"/>
                <c:pt idx="0">
                  <c:v>4.6000000000000005</c:v>
                </c:pt>
                <c:pt idx="1">
                  <c:v>15.2</c:v>
                </c:pt>
                <c:pt idx="2">
                  <c:v>11.499999999999998</c:v>
                </c:pt>
                <c:pt idx="3">
                  <c:v>25.4</c:v>
                </c:pt>
                <c:pt idx="4">
                  <c:v>32.900000000000006</c:v>
                </c:pt>
                <c:pt idx="5">
                  <c:v>42.6</c:v>
                </c:pt>
                <c:pt idx="6">
                  <c:v>47.900000000000006</c:v>
                </c:pt>
                <c:pt idx="7">
                  <c:v>55.300000000000004</c:v>
                </c:pt>
                <c:pt idx="8">
                  <c:v>48.6</c:v>
                </c:pt>
                <c:pt idx="9">
                  <c:v>47.900000000000006</c:v>
                </c:pt>
                <c:pt idx="10">
                  <c:v>45.899999999999991</c:v>
                </c:pt>
                <c:pt idx="11">
                  <c:v>48</c:v>
                </c:pt>
                <c:pt idx="12">
                  <c:v>40.800000000000004</c:v>
                </c:pt>
                <c:pt idx="13">
                  <c:v>43.399999999999991</c:v>
                </c:pt>
                <c:pt idx="14">
                  <c:v>42.4</c:v>
                </c:pt>
                <c:pt idx="15">
                  <c:v>33.4</c:v>
                </c:pt>
                <c:pt idx="16">
                  <c:v>22.599999999999998</c:v>
                </c:pt>
                <c:pt idx="17">
                  <c:v>22.9</c:v>
                </c:pt>
                <c:pt idx="18">
                  <c:v>19</c:v>
                </c:pt>
                <c:pt idx="19">
                  <c:v>10.399999999999999</c:v>
                </c:pt>
                <c:pt idx="20">
                  <c:v>7.4</c:v>
                </c:pt>
              </c:numCache>
            </c:numRef>
          </c:val>
          <c:smooth val="0"/>
        </c:ser>
        <c:ser>
          <c:idx val="2"/>
          <c:order val="4"/>
          <c:tx>
            <c:v>SAPWAT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graphs'!$BN$7:$BN$31</c:f>
              <c:numCache>
                <c:formatCode>General</c:formatCode>
                <c:ptCount val="25"/>
                <c:pt idx="0">
                  <c:v>20.799999999999997</c:v>
                </c:pt>
                <c:pt idx="1">
                  <c:v>19.8</c:v>
                </c:pt>
                <c:pt idx="2">
                  <c:v>19.3</c:v>
                </c:pt>
                <c:pt idx="3">
                  <c:v>29.800000000000004</c:v>
                </c:pt>
                <c:pt idx="4">
                  <c:v>38.199999999999996</c:v>
                </c:pt>
                <c:pt idx="5">
                  <c:v>42.800000000000004</c:v>
                </c:pt>
                <c:pt idx="6">
                  <c:v>50.599999999999994</c:v>
                </c:pt>
                <c:pt idx="7">
                  <c:v>50.400000000000006</c:v>
                </c:pt>
                <c:pt idx="8">
                  <c:v>48.899999999999991</c:v>
                </c:pt>
                <c:pt idx="9">
                  <c:v>46.6</c:v>
                </c:pt>
                <c:pt idx="10">
                  <c:v>44.5</c:v>
                </c:pt>
                <c:pt idx="11">
                  <c:v>42.3</c:v>
                </c:pt>
                <c:pt idx="12">
                  <c:v>40.299999999999997</c:v>
                </c:pt>
                <c:pt idx="13">
                  <c:v>46.6</c:v>
                </c:pt>
                <c:pt idx="14">
                  <c:v>35.5</c:v>
                </c:pt>
                <c:pt idx="15">
                  <c:v>29.2</c:v>
                </c:pt>
                <c:pt idx="16">
                  <c:v>11.7</c:v>
                </c:pt>
              </c:numCache>
            </c:numRef>
          </c:val>
          <c:smooth val="0"/>
        </c:ser>
        <c:ser>
          <c:idx val="5"/>
          <c:order val="5"/>
          <c:tx>
            <c:v>CROPWAT</c:v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graphs'!$J$7:$J$31</c:f>
              <c:numCache>
                <c:formatCode>General</c:formatCode>
                <c:ptCount val="25"/>
                <c:pt idx="0">
                  <c:v>15.600000000000001</c:v>
                </c:pt>
                <c:pt idx="1">
                  <c:v>16.8</c:v>
                </c:pt>
                <c:pt idx="2">
                  <c:v>28.700000000000003</c:v>
                </c:pt>
                <c:pt idx="3">
                  <c:v>34.099999999999994</c:v>
                </c:pt>
                <c:pt idx="4">
                  <c:v>41.3</c:v>
                </c:pt>
                <c:pt idx="5">
                  <c:v>53.2</c:v>
                </c:pt>
                <c:pt idx="6">
                  <c:v>54.399999999999991</c:v>
                </c:pt>
                <c:pt idx="7">
                  <c:v>55.3</c:v>
                </c:pt>
                <c:pt idx="8">
                  <c:v>53.2</c:v>
                </c:pt>
                <c:pt idx="9">
                  <c:v>51.6</c:v>
                </c:pt>
                <c:pt idx="10">
                  <c:v>49.900000000000006</c:v>
                </c:pt>
                <c:pt idx="11">
                  <c:v>46.900000000000006</c:v>
                </c:pt>
                <c:pt idx="12">
                  <c:v>37.799999999999997</c:v>
                </c:pt>
                <c:pt idx="13">
                  <c:v>30.600000000000009</c:v>
                </c:pt>
                <c:pt idx="14">
                  <c:v>23.700000000000003</c:v>
                </c:pt>
                <c:pt idx="15">
                  <c:v>14.7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91488"/>
        <c:axId val="92993408"/>
      </c:lineChart>
      <c:dateAx>
        <c:axId val="929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-3720000" vert="horz" anchor="ctr" anchorCtr="1"/>
          <a:lstStyle/>
          <a:p>
            <a:pPr>
              <a:defRPr sz="1050"/>
            </a:pPr>
            <a:endParaRPr lang="en-US"/>
          </a:p>
        </c:txPr>
        <c:crossAx val="92993408"/>
        <c:crosses val="autoZero"/>
        <c:auto val="0"/>
        <c:lblOffset val="100"/>
        <c:baseTimeUnit val="days"/>
      </c:dateAx>
      <c:valAx>
        <c:axId val="92993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Weekly</a:t>
                </a:r>
                <a:r>
                  <a:rPr lang="en-US" sz="1600" baseline="0"/>
                  <a:t> evapotranspiration (mm)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8542509044477503E-3"/>
              <c:y val="0.125709242720498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299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031047826801501"/>
          <c:y val="3.5013898430481402E-2"/>
          <c:w val="0.222984697667508"/>
          <c:h val="0.43141957255343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5875749335522"/>
          <c:y val="5.9060402684563702E-2"/>
          <c:w val="0.85398621567822774"/>
          <c:h val="0.71450573376314497"/>
        </c:manualLayout>
      </c:layout>
      <c:lineChart>
        <c:grouping val="standard"/>
        <c:varyColors val="0"/>
        <c:ser>
          <c:idx val="0"/>
          <c:order val="0"/>
          <c:tx>
            <c:v>SEBAL (714 mm)</c:v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graphs'!$M$6:$M$27</c:f>
              <c:numCache>
                <c:formatCode>General</c:formatCode>
                <c:ptCount val="22"/>
                <c:pt idx="0">
                  <c:v>0</c:v>
                </c:pt>
                <c:pt idx="1">
                  <c:v>13.7799999999999</c:v>
                </c:pt>
                <c:pt idx="2">
                  <c:v>36.3599999999998</c:v>
                </c:pt>
                <c:pt idx="3">
                  <c:v>58.099999999999696</c:v>
                </c:pt>
                <c:pt idx="4">
                  <c:v>103.10999999999959</c:v>
                </c:pt>
                <c:pt idx="5">
                  <c:v>154.91999999999959</c:v>
                </c:pt>
                <c:pt idx="6">
                  <c:v>208.2099999999995</c:v>
                </c:pt>
                <c:pt idx="7">
                  <c:v>249.9999999999994</c:v>
                </c:pt>
                <c:pt idx="8">
                  <c:v>299.29999999999927</c:v>
                </c:pt>
                <c:pt idx="9">
                  <c:v>347.85999999999927</c:v>
                </c:pt>
                <c:pt idx="10">
                  <c:v>390.84999999999928</c:v>
                </c:pt>
                <c:pt idx="11">
                  <c:v>435.2599999999992</c:v>
                </c:pt>
                <c:pt idx="12">
                  <c:v>472.82999999999919</c:v>
                </c:pt>
                <c:pt idx="13">
                  <c:v>514.32999999999925</c:v>
                </c:pt>
                <c:pt idx="14">
                  <c:v>554.47999999999911</c:v>
                </c:pt>
                <c:pt idx="15">
                  <c:v>596.47999999999911</c:v>
                </c:pt>
                <c:pt idx="16">
                  <c:v>627.30999999999904</c:v>
                </c:pt>
                <c:pt idx="17">
                  <c:v>641.79999999999905</c:v>
                </c:pt>
                <c:pt idx="18">
                  <c:v>664.2399999999991</c:v>
                </c:pt>
                <c:pt idx="19">
                  <c:v>689.479999999999</c:v>
                </c:pt>
                <c:pt idx="20">
                  <c:v>704.87999999999897</c:v>
                </c:pt>
                <c:pt idx="21">
                  <c:v>714.00999999999897</c:v>
                </c:pt>
              </c:numCache>
            </c:numRef>
          </c:val>
          <c:smooth val="0"/>
        </c:ser>
        <c:ser>
          <c:idx val="1"/>
          <c:order val="1"/>
          <c:tx>
            <c:v>SWB (668 mm)</c:v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'ET graphs'!$AB$6:$AB$31</c:f>
              <c:numCache>
                <c:formatCode>General</c:formatCode>
                <c:ptCount val="26"/>
                <c:pt idx="0">
                  <c:v>0</c:v>
                </c:pt>
                <c:pt idx="1">
                  <c:v>4.6000000000000005</c:v>
                </c:pt>
                <c:pt idx="2">
                  <c:v>19.8</c:v>
                </c:pt>
                <c:pt idx="3">
                  <c:v>31.299999999999997</c:v>
                </c:pt>
                <c:pt idx="4">
                  <c:v>56.699999999999996</c:v>
                </c:pt>
                <c:pt idx="5">
                  <c:v>89.6</c:v>
                </c:pt>
                <c:pt idx="6">
                  <c:v>132.19999999999999</c:v>
                </c:pt>
                <c:pt idx="7">
                  <c:v>180.1</c:v>
                </c:pt>
                <c:pt idx="8">
                  <c:v>235.4</c:v>
                </c:pt>
                <c:pt idx="9">
                  <c:v>284</c:v>
                </c:pt>
                <c:pt idx="10">
                  <c:v>331.9</c:v>
                </c:pt>
                <c:pt idx="11">
                  <c:v>377.79999999999995</c:v>
                </c:pt>
                <c:pt idx="12">
                  <c:v>425.79999999999995</c:v>
                </c:pt>
                <c:pt idx="13">
                  <c:v>466.59999999999997</c:v>
                </c:pt>
                <c:pt idx="14">
                  <c:v>509.99999999999994</c:v>
                </c:pt>
                <c:pt idx="15">
                  <c:v>552.4</c:v>
                </c:pt>
                <c:pt idx="16">
                  <c:v>585.79999999999995</c:v>
                </c:pt>
                <c:pt idx="17">
                  <c:v>608.4</c:v>
                </c:pt>
                <c:pt idx="18">
                  <c:v>631.29999999999995</c:v>
                </c:pt>
                <c:pt idx="19">
                  <c:v>650.29999999999995</c:v>
                </c:pt>
                <c:pt idx="20">
                  <c:v>660.69999999999993</c:v>
                </c:pt>
                <c:pt idx="21">
                  <c:v>668.09999999999991</c:v>
                </c:pt>
              </c:numCache>
            </c:numRef>
          </c:val>
          <c:smooth val="0"/>
        </c:ser>
        <c:ser>
          <c:idx val="2"/>
          <c:order val="2"/>
          <c:tx>
            <c:v>SAPWAT (617 mm)</c:v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'ET graphs'!$BO$6:$BO$31</c:f>
              <c:numCache>
                <c:formatCode>General</c:formatCode>
                <c:ptCount val="26"/>
                <c:pt idx="0">
                  <c:v>0</c:v>
                </c:pt>
                <c:pt idx="1">
                  <c:v>20.799999999999997</c:v>
                </c:pt>
                <c:pt idx="2">
                  <c:v>40.599999999999994</c:v>
                </c:pt>
                <c:pt idx="3">
                  <c:v>59.899999999999991</c:v>
                </c:pt>
                <c:pt idx="4">
                  <c:v>89.699999999999989</c:v>
                </c:pt>
                <c:pt idx="5">
                  <c:v>127.89999999999998</c:v>
                </c:pt>
                <c:pt idx="6">
                  <c:v>170.7</c:v>
                </c:pt>
                <c:pt idx="7">
                  <c:v>221.29999999999998</c:v>
                </c:pt>
                <c:pt idx="8">
                  <c:v>271.7</c:v>
                </c:pt>
                <c:pt idx="9">
                  <c:v>320.59999999999997</c:v>
                </c:pt>
                <c:pt idx="10">
                  <c:v>367.2</c:v>
                </c:pt>
                <c:pt idx="11">
                  <c:v>411.7</c:v>
                </c:pt>
                <c:pt idx="12">
                  <c:v>454</c:v>
                </c:pt>
                <c:pt idx="13">
                  <c:v>494.3</c:v>
                </c:pt>
                <c:pt idx="14">
                  <c:v>540.9</c:v>
                </c:pt>
                <c:pt idx="15">
                  <c:v>576.4</c:v>
                </c:pt>
                <c:pt idx="16">
                  <c:v>605.6</c:v>
                </c:pt>
                <c:pt idx="17">
                  <c:v>617.30000000000007</c:v>
                </c:pt>
              </c:numCache>
            </c:numRef>
          </c:val>
          <c:smooth val="0"/>
        </c:ser>
        <c:ser>
          <c:idx val="5"/>
          <c:order val="3"/>
          <c:tx>
            <c:v>CROPWAT (608 mm)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'ET graphs'!$K$6:$K$23</c:f>
              <c:numCache>
                <c:formatCode>General</c:formatCode>
                <c:ptCount val="18"/>
                <c:pt idx="0">
                  <c:v>0</c:v>
                </c:pt>
                <c:pt idx="1">
                  <c:v>15.600000000000001</c:v>
                </c:pt>
                <c:pt idx="2">
                  <c:v>32.400000000000006</c:v>
                </c:pt>
                <c:pt idx="3">
                  <c:v>61.100000000000009</c:v>
                </c:pt>
                <c:pt idx="4">
                  <c:v>95.2</c:v>
                </c:pt>
                <c:pt idx="5">
                  <c:v>136.5</c:v>
                </c:pt>
                <c:pt idx="6">
                  <c:v>189.7</c:v>
                </c:pt>
                <c:pt idx="7">
                  <c:v>244.09999999999997</c:v>
                </c:pt>
                <c:pt idx="8">
                  <c:v>299.39999999999998</c:v>
                </c:pt>
                <c:pt idx="9">
                  <c:v>352.59999999999997</c:v>
                </c:pt>
                <c:pt idx="10">
                  <c:v>404.2</c:v>
                </c:pt>
                <c:pt idx="11">
                  <c:v>454.1</c:v>
                </c:pt>
                <c:pt idx="12">
                  <c:v>501</c:v>
                </c:pt>
                <c:pt idx="13">
                  <c:v>538.79999999999995</c:v>
                </c:pt>
                <c:pt idx="14">
                  <c:v>569.4</c:v>
                </c:pt>
                <c:pt idx="15">
                  <c:v>593.1</c:v>
                </c:pt>
                <c:pt idx="16">
                  <c:v>607.80000000000007</c:v>
                </c:pt>
                <c:pt idx="17">
                  <c:v>607.80000000000007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384"/>
        <c:axId val="93170304"/>
      </c:lineChart>
      <c:dateAx>
        <c:axId val="93168384"/>
        <c:scaling>
          <c:orientation val="minMax"/>
          <c:max val="41399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-3720000" vert="horz" anchor="ctr" anchorCtr="1"/>
          <a:lstStyle/>
          <a:p>
            <a:pPr>
              <a:defRPr sz="1050"/>
            </a:pPr>
            <a:endParaRPr lang="en-US"/>
          </a:p>
        </c:txPr>
        <c:crossAx val="93170304"/>
        <c:crosses val="autoZero"/>
        <c:auto val="0"/>
        <c:lblOffset val="100"/>
        <c:baseTimeUnit val="days"/>
      </c:dateAx>
      <c:valAx>
        <c:axId val="93170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aseline="0"/>
                  <a:t>Cumulative evapotranspiration (mm)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8542509044477503E-3"/>
              <c:y val="0.125709242720498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316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99962758033599"/>
          <c:y val="4.0383025947259898E-2"/>
          <c:w val="0.231046447238692"/>
          <c:h val="0.323483168630766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26750372419595E-2"/>
          <c:y val="5.9060402684563702E-2"/>
          <c:w val="0.87541830708661394"/>
          <c:h val="0.71450573376314497"/>
        </c:manualLayout>
      </c:layout>
      <c:lineChart>
        <c:grouping val="standard"/>
        <c:varyColors val="0"/>
        <c:ser>
          <c:idx val="0"/>
          <c:order val="0"/>
          <c:tx>
            <c:v>SEBAL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'ET graphs'!$A$6:$A$31</c:f>
              <c:numCache>
                <c:formatCode>d\-mmm\-yy</c:formatCode>
                <c:ptCount val="26"/>
                <c:pt idx="0">
                  <c:v>41243</c:v>
                </c:pt>
                <c:pt idx="1">
                  <c:v>41250</c:v>
                </c:pt>
                <c:pt idx="2">
                  <c:v>41257</c:v>
                </c:pt>
                <c:pt idx="3">
                  <c:v>41264</c:v>
                </c:pt>
                <c:pt idx="4">
                  <c:v>41271</c:v>
                </c:pt>
                <c:pt idx="5">
                  <c:v>41278</c:v>
                </c:pt>
                <c:pt idx="6">
                  <c:v>41285</c:v>
                </c:pt>
                <c:pt idx="7">
                  <c:v>41292</c:v>
                </c:pt>
                <c:pt idx="8">
                  <c:v>41299</c:v>
                </c:pt>
                <c:pt idx="9">
                  <c:v>41306</c:v>
                </c:pt>
                <c:pt idx="10">
                  <c:v>41313</c:v>
                </c:pt>
                <c:pt idx="11">
                  <c:v>41320</c:v>
                </c:pt>
                <c:pt idx="12">
                  <c:v>41327</c:v>
                </c:pt>
                <c:pt idx="13">
                  <c:v>41334</c:v>
                </c:pt>
                <c:pt idx="14">
                  <c:v>41341</c:v>
                </c:pt>
                <c:pt idx="15">
                  <c:v>41348</c:v>
                </c:pt>
                <c:pt idx="16">
                  <c:v>41355</c:v>
                </c:pt>
                <c:pt idx="17">
                  <c:v>41362</c:v>
                </c:pt>
                <c:pt idx="18">
                  <c:v>41369</c:v>
                </c:pt>
                <c:pt idx="19">
                  <c:v>41376</c:v>
                </c:pt>
                <c:pt idx="20">
                  <c:v>41383</c:v>
                </c:pt>
                <c:pt idx="21">
                  <c:v>41390</c:v>
                </c:pt>
                <c:pt idx="22">
                  <c:v>41397</c:v>
                </c:pt>
                <c:pt idx="23">
                  <c:v>41404</c:v>
                </c:pt>
                <c:pt idx="24">
                  <c:v>41411</c:v>
                </c:pt>
                <c:pt idx="25">
                  <c:v>41418</c:v>
                </c:pt>
              </c:numCache>
            </c:numRef>
          </c:cat>
          <c:val>
            <c:numRef>
              <c:f>'ET graphs'!$U$7:$U$31</c:f>
              <c:numCache>
                <c:formatCode>General</c:formatCode>
                <c:ptCount val="25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56.000000000000007</c:v>
                </c:pt>
                <c:pt idx="4">
                  <c:v>69.999999999999901</c:v>
                </c:pt>
                <c:pt idx="5">
                  <c:v>69.999999999999901</c:v>
                </c:pt>
                <c:pt idx="6">
                  <c:v>81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73.999999999999901</c:v>
                </c:pt>
                <c:pt idx="16">
                  <c:v>73.999999999999901</c:v>
                </c:pt>
                <c:pt idx="17">
                  <c:v>63</c:v>
                </c:pt>
                <c:pt idx="18">
                  <c:v>63</c:v>
                </c:pt>
                <c:pt idx="19">
                  <c:v>41.999999999999901</c:v>
                </c:pt>
                <c:pt idx="20">
                  <c:v>28.000000000000004</c:v>
                </c:pt>
                <c:pt idx="21">
                  <c:v>28.000000000000004</c:v>
                </c:pt>
                <c:pt idx="22">
                  <c:v>23.999999999999901</c:v>
                </c:pt>
                <c:pt idx="23">
                  <c:v>20.999999999999901</c:v>
                </c:pt>
                <c:pt idx="24">
                  <c:v>20.999999999999901</c:v>
                </c:pt>
              </c:numCache>
            </c:numRef>
          </c:val>
          <c:smooth val="0"/>
        </c:ser>
        <c:ser>
          <c:idx val="1"/>
          <c:order val="1"/>
          <c:tx>
            <c:v>SWB</c:v>
          </c:tx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'ET graphs'!$AG$6:$AG$32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7.0000000000000009</c:v>
                </c:pt>
                <c:pt idx="3">
                  <c:v>18</c:v>
                </c:pt>
                <c:pt idx="4">
                  <c:v>36</c:v>
                </c:pt>
                <c:pt idx="5">
                  <c:v>60</c:v>
                </c:pt>
                <c:pt idx="6">
                  <c:v>78</c:v>
                </c:pt>
                <c:pt idx="7">
                  <c:v>88</c:v>
                </c:pt>
                <c:pt idx="8">
                  <c:v>93</c:v>
                </c:pt>
                <c:pt idx="9">
                  <c:v>96</c:v>
                </c:pt>
                <c:pt idx="10">
                  <c:v>96</c:v>
                </c:pt>
                <c:pt idx="11">
                  <c:v>95</c:v>
                </c:pt>
                <c:pt idx="12">
                  <c:v>95</c:v>
                </c:pt>
                <c:pt idx="13">
                  <c:v>94</c:v>
                </c:pt>
                <c:pt idx="14">
                  <c:v>93</c:v>
                </c:pt>
                <c:pt idx="15">
                  <c:v>89</c:v>
                </c:pt>
                <c:pt idx="16">
                  <c:v>82</c:v>
                </c:pt>
                <c:pt idx="17">
                  <c:v>71</c:v>
                </c:pt>
                <c:pt idx="18">
                  <c:v>65</c:v>
                </c:pt>
                <c:pt idx="19">
                  <c:v>53</c:v>
                </c:pt>
                <c:pt idx="20">
                  <c:v>45</c:v>
                </c:pt>
                <c:pt idx="21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Measured</c:v>
          </c:tx>
          <c:spPr>
            <a:ln>
              <a:noFill/>
            </a:ln>
          </c:spPr>
          <c:marker>
            <c:symbol val="circle"/>
            <c:size val="14"/>
            <c:spPr>
              <a:solidFill>
                <a:schemeClr val="bg1">
                  <a:lumMod val="50000"/>
                </a:schemeClr>
              </a:solidFill>
              <a:ln w="31750">
                <a:solidFill>
                  <a:schemeClr val="tx1"/>
                </a:solidFill>
              </a:ln>
            </c:spPr>
          </c:marker>
          <c:val>
            <c:numRef>
              <c:f>'ET graphs'!$BE$6:$BE$31</c:f>
              <c:numCache>
                <c:formatCode>General</c:formatCode>
                <c:ptCount val="26"/>
                <c:pt idx="5">
                  <c:v>57</c:v>
                </c:pt>
                <c:pt idx="9">
                  <c:v>96</c:v>
                </c:pt>
                <c:pt idx="11">
                  <c:v>94</c:v>
                </c:pt>
                <c:pt idx="13">
                  <c:v>97</c:v>
                </c:pt>
                <c:pt idx="15">
                  <c:v>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7072"/>
        <c:axId val="93017984"/>
      </c:lineChart>
      <c:dateAx>
        <c:axId val="931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-3720000" vert="horz" anchor="ctr" anchorCtr="1"/>
          <a:lstStyle/>
          <a:p>
            <a:pPr>
              <a:defRPr sz="1050"/>
            </a:pPr>
            <a:endParaRPr lang="en-US"/>
          </a:p>
        </c:txPr>
        <c:crossAx val="93017984"/>
        <c:crosses val="autoZero"/>
        <c:auto val="0"/>
        <c:lblOffset val="100"/>
        <c:baseTimeUnit val="days"/>
      </c:dateAx>
      <c:valAx>
        <c:axId val="930179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aseline="0"/>
                  <a:t>Canopy cover (%)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1.20001080482435E-2"/>
              <c:y val="0.2491991756064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318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031047826801501"/>
          <c:y val="3.5013898430481402E-2"/>
          <c:w val="0.149371294282897"/>
          <c:h val="0.24227849706706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67798482203"/>
          <c:y val="6.3986462899034105E-2"/>
          <c:w val="0.84525243168133402"/>
          <c:h val="0.79824948605562196"/>
        </c:manualLayout>
      </c:layout>
      <c:scatterChart>
        <c:scatterStyle val="lineMarker"/>
        <c:varyColors val="0"/>
        <c:ser>
          <c:idx val="0"/>
          <c:order val="0"/>
          <c:tx>
            <c:v>SEBAL (R2 = 0.81)</c:v>
          </c:tx>
          <c:spPr>
            <a:ln w="47625">
              <a:noFill/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graphs'!$L$7:$L$27</c:f>
              <c:numCache>
                <c:formatCode>General</c:formatCode>
                <c:ptCount val="21"/>
                <c:pt idx="0">
                  <c:v>13.7799999999999</c:v>
                </c:pt>
                <c:pt idx="1">
                  <c:v>22.579999999999899</c:v>
                </c:pt>
                <c:pt idx="2">
                  <c:v>21.739999999999899</c:v>
                </c:pt>
                <c:pt idx="3">
                  <c:v>45.009999999999899</c:v>
                </c:pt>
                <c:pt idx="4">
                  <c:v>51.81</c:v>
                </c:pt>
                <c:pt idx="5">
                  <c:v>53.2899999999999</c:v>
                </c:pt>
                <c:pt idx="6">
                  <c:v>41.7899999999999</c:v>
                </c:pt>
                <c:pt idx="7">
                  <c:v>49.299999999999898</c:v>
                </c:pt>
                <c:pt idx="8">
                  <c:v>48.56</c:v>
                </c:pt>
                <c:pt idx="9">
                  <c:v>42.99</c:v>
                </c:pt>
                <c:pt idx="10">
                  <c:v>44.409999999999897</c:v>
                </c:pt>
                <c:pt idx="11">
                  <c:v>37.57</c:v>
                </c:pt>
                <c:pt idx="12">
                  <c:v>41.5</c:v>
                </c:pt>
                <c:pt idx="13">
                  <c:v>40.149999999999899</c:v>
                </c:pt>
                <c:pt idx="14">
                  <c:v>42</c:v>
                </c:pt>
                <c:pt idx="15">
                  <c:v>30.829999999999899</c:v>
                </c:pt>
                <c:pt idx="16">
                  <c:v>14.49</c:v>
                </c:pt>
                <c:pt idx="17">
                  <c:v>22.44</c:v>
                </c:pt>
                <c:pt idx="18">
                  <c:v>25.239999999999899</c:v>
                </c:pt>
                <c:pt idx="19">
                  <c:v>15.4</c:v>
                </c:pt>
                <c:pt idx="20">
                  <c:v>9.1300000000000008</c:v>
                </c:pt>
              </c:numCache>
            </c:numRef>
          </c:yVal>
          <c:smooth val="0"/>
        </c:ser>
        <c:ser>
          <c:idx val="1"/>
          <c:order val="1"/>
          <c:tx>
            <c:v>SWB (R2 = 0.73)</c:v>
          </c:tx>
          <c:spPr>
            <a:ln w="47625">
              <a:noFill/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graphs'!$AA$7:$AA$31</c:f>
              <c:numCache>
                <c:formatCode>General</c:formatCode>
                <c:ptCount val="25"/>
                <c:pt idx="0">
                  <c:v>4.6000000000000005</c:v>
                </c:pt>
                <c:pt idx="1">
                  <c:v>15.2</c:v>
                </c:pt>
                <c:pt idx="2">
                  <c:v>11.499999999999998</c:v>
                </c:pt>
                <c:pt idx="3">
                  <c:v>25.4</c:v>
                </c:pt>
                <c:pt idx="4">
                  <c:v>32.900000000000006</c:v>
                </c:pt>
                <c:pt idx="5">
                  <c:v>42.6</c:v>
                </c:pt>
                <c:pt idx="6">
                  <c:v>47.900000000000006</c:v>
                </c:pt>
                <c:pt idx="7">
                  <c:v>55.300000000000004</c:v>
                </c:pt>
                <c:pt idx="8">
                  <c:v>48.6</c:v>
                </c:pt>
                <c:pt idx="9">
                  <c:v>47.900000000000006</c:v>
                </c:pt>
                <c:pt idx="10">
                  <c:v>45.899999999999991</c:v>
                </c:pt>
                <c:pt idx="11">
                  <c:v>48</c:v>
                </c:pt>
                <c:pt idx="12">
                  <c:v>40.800000000000004</c:v>
                </c:pt>
                <c:pt idx="13">
                  <c:v>43.399999999999991</c:v>
                </c:pt>
                <c:pt idx="14">
                  <c:v>42.4</c:v>
                </c:pt>
                <c:pt idx="15">
                  <c:v>33.4</c:v>
                </c:pt>
                <c:pt idx="16">
                  <c:v>22.599999999999998</c:v>
                </c:pt>
                <c:pt idx="17">
                  <c:v>22.9</c:v>
                </c:pt>
                <c:pt idx="18">
                  <c:v>19</c:v>
                </c:pt>
                <c:pt idx="19">
                  <c:v>10.399999999999999</c:v>
                </c:pt>
                <c:pt idx="20">
                  <c:v>7.4</c:v>
                </c:pt>
              </c:numCache>
            </c:numRef>
          </c:yVal>
          <c:smooth val="0"/>
        </c:ser>
        <c:ser>
          <c:idx val="2"/>
          <c:order val="2"/>
          <c:tx>
            <c:v>SAPWAT (R2 = 0.79)</c:v>
          </c:tx>
          <c:spPr>
            <a:ln w="47625">
              <a:noFill/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graphs'!$BN$7:$BN$31</c:f>
              <c:numCache>
                <c:formatCode>General</c:formatCode>
                <c:ptCount val="25"/>
                <c:pt idx="0">
                  <c:v>20.799999999999997</c:v>
                </c:pt>
                <c:pt idx="1">
                  <c:v>19.8</c:v>
                </c:pt>
                <c:pt idx="2">
                  <c:v>19.3</c:v>
                </c:pt>
                <c:pt idx="3">
                  <c:v>29.800000000000004</c:v>
                </c:pt>
                <c:pt idx="4">
                  <c:v>38.199999999999996</c:v>
                </c:pt>
                <c:pt idx="5">
                  <c:v>42.800000000000004</c:v>
                </c:pt>
                <c:pt idx="6">
                  <c:v>50.599999999999994</c:v>
                </c:pt>
                <c:pt idx="7">
                  <c:v>50.400000000000006</c:v>
                </c:pt>
                <c:pt idx="8">
                  <c:v>48.899999999999991</c:v>
                </c:pt>
                <c:pt idx="9">
                  <c:v>46.6</c:v>
                </c:pt>
                <c:pt idx="10">
                  <c:v>44.5</c:v>
                </c:pt>
                <c:pt idx="11">
                  <c:v>42.3</c:v>
                </c:pt>
                <c:pt idx="12">
                  <c:v>40.299999999999997</c:v>
                </c:pt>
                <c:pt idx="13">
                  <c:v>46.6</c:v>
                </c:pt>
                <c:pt idx="14">
                  <c:v>35.5</c:v>
                </c:pt>
                <c:pt idx="15">
                  <c:v>29.2</c:v>
                </c:pt>
                <c:pt idx="16">
                  <c:v>11.7</c:v>
                </c:pt>
              </c:numCache>
            </c:numRef>
          </c:yVal>
          <c:smooth val="0"/>
        </c:ser>
        <c:ser>
          <c:idx val="4"/>
          <c:order val="3"/>
          <c:tx>
            <c:v>Soil water balance (R2 = 0.49)</c:v>
          </c:tx>
          <c:spPr>
            <a:ln w="47625">
              <a:noFill/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graphs'!$AQ$7:$AQ$31</c:f>
              <c:numCache>
                <c:formatCode>0.0</c:formatCode>
                <c:ptCount val="25"/>
                <c:pt idx="2">
                  <c:v>8.9955754399999837</c:v>
                </c:pt>
                <c:pt idx="3">
                  <c:v>30.730344054999996</c:v>
                </c:pt>
                <c:pt idx="4">
                  <c:v>39.205937060000018</c:v>
                </c:pt>
                <c:pt idx="5">
                  <c:v>48.215224164999988</c:v>
                </c:pt>
                <c:pt idx="6">
                  <c:v>42.052373414999984</c:v>
                </c:pt>
                <c:pt idx="7">
                  <c:v>57.971243580000007</c:v>
                </c:pt>
                <c:pt idx="8">
                  <c:v>61.444456004999992</c:v>
                </c:pt>
                <c:pt idx="9">
                  <c:v>59.099067160000004</c:v>
                </c:pt>
                <c:pt idx="10">
                  <c:v>61.703311369999994</c:v>
                </c:pt>
                <c:pt idx="11">
                  <c:v>51.007125945000006</c:v>
                </c:pt>
                <c:pt idx="12">
                  <c:v>51.765967154999977</c:v>
                </c:pt>
                <c:pt idx="13">
                  <c:v>44.831456260000024</c:v>
                </c:pt>
                <c:pt idx="14">
                  <c:v>45.969840994999984</c:v>
                </c:pt>
                <c:pt idx="15">
                  <c:v>39.082627100000011</c:v>
                </c:pt>
                <c:pt idx="16">
                  <c:v>21.237881514999998</c:v>
                </c:pt>
                <c:pt idx="17">
                  <c:v>20.197862485000002</c:v>
                </c:pt>
              </c:numCache>
            </c:numRef>
          </c:yVal>
          <c:smooth val="0"/>
        </c:ser>
        <c:ser>
          <c:idx val="5"/>
          <c:order val="4"/>
          <c:tx>
            <c:v>CROPWAT (R2 = 0.77)</c:v>
          </c:tx>
          <c:spPr>
            <a:ln w="47625">
              <a:noFill/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graphs'!$J$7:$J$31</c:f>
              <c:numCache>
                <c:formatCode>General</c:formatCode>
                <c:ptCount val="25"/>
                <c:pt idx="0">
                  <c:v>15.600000000000001</c:v>
                </c:pt>
                <c:pt idx="1">
                  <c:v>16.8</c:v>
                </c:pt>
                <c:pt idx="2">
                  <c:v>28.700000000000003</c:v>
                </c:pt>
                <c:pt idx="3">
                  <c:v>34.099999999999994</c:v>
                </c:pt>
                <c:pt idx="4">
                  <c:v>41.3</c:v>
                </c:pt>
                <c:pt idx="5">
                  <c:v>53.2</c:v>
                </c:pt>
                <c:pt idx="6">
                  <c:v>54.399999999999991</c:v>
                </c:pt>
                <c:pt idx="7">
                  <c:v>55.3</c:v>
                </c:pt>
                <c:pt idx="8">
                  <c:v>53.2</c:v>
                </c:pt>
                <c:pt idx="9">
                  <c:v>51.6</c:v>
                </c:pt>
                <c:pt idx="10">
                  <c:v>49.900000000000006</c:v>
                </c:pt>
                <c:pt idx="11">
                  <c:v>46.900000000000006</c:v>
                </c:pt>
                <c:pt idx="12">
                  <c:v>37.799999999999997</c:v>
                </c:pt>
                <c:pt idx="13">
                  <c:v>30.600000000000009</c:v>
                </c:pt>
                <c:pt idx="14">
                  <c:v>23.700000000000003</c:v>
                </c:pt>
                <c:pt idx="15">
                  <c:v>14.7</c:v>
                </c:pt>
              </c:numCache>
            </c:numRef>
          </c:yVal>
          <c:smooth val="0"/>
        </c:ser>
        <c:ser>
          <c:idx val="3"/>
          <c:order val="5"/>
          <c:tx>
            <c:v>Eddy covariance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x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xVal>
          <c:yVal>
            <c:numRef>
              <c:f>'ET graphs'!$BJ$7:$BJ$37</c:f>
              <c:numCache>
                <c:formatCode>0.00</c:formatCode>
                <c:ptCount val="31"/>
                <c:pt idx="1">
                  <c:v>26.338807682730049</c:v>
                </c:pt>
                <c:pt idx="2">
                  <c:v>21.654933825297444</c:v>
                </c:pt>
                <c:pt idx="3">
                  <c:v>33.179294420570344</c:v>
                </c:pt>
                <c:pt idx="4">
                  <c:v>43.324474159410009</c:v>
                </c:pt>
                <c:pt idx="5">
                  <c:v>44.951819496438176</c:v>
                </c:pt>
                <c:pt idx="6" formatCode="0.0">
                  <c:v>53.928777430135291</c:v>
                </c:pt>
                <c:pt idx="7" formatCode="0.0">
                  <c:v>51.757092205204472</c:v>
                </c:pt>
                <c:pt idx="8" formatCode="0.0">
                  <c:v>39.907546082777756</c:v>
                </c:pt>
                <c:pt idx="9" formatCode="0.0">
                  <c:v>40.052672278972693</c:v>
                </c:pt>
                <c:pt idx="10" formatCode="0.0">
                  <c:v>39.366594946107384</c:v>
                </c:pt>
                <c:pt idx="11" formatCode="0.0">
                  <c:v>42.391361144759522</c:v>
                </c:pt>
                <c:pt idx="12" formatCode="0.0">
                  <c:v>33.027700122735808</c:v>
                </c:pt>
                <c:pt idx="13" formatCode="0.0">
                  <c:v>36.063429757088535</c:v>
                </c:pt>
                <c:pt idx="14" formatCode="0.0">
                  <c:v>30.662341119529518</c:v>
                </c:pt>
                <c:pt idx="15" formatCode="0.0">
                  <c:v>20.020524467342533</c:v>
                </c:pt>
                <c:pt idx="16" formatCode="0.0">
                  <c:v>11.966927157410563</c:v>
                </c:pt>
                <c:pt idx="17" formatCode="0.0">
                  <c:v>11.625951810881961</c:v>
                </c:pt>
                <c:pt idx="18" formatCode="0.0">
                  <c:v>7.1107781289088265</c:v>
                </c:pt>
                <c:pt idx="19" formatCode="0.0">
                  <c:v>6.8796747860881853</c:v>
                </c:pt>
                <c:pt idx="20" formatCode="0.0">
                  <c:v>6.412643668036325</c:v>
                </c:pt>
                <c:pt idx="21" formatCode="0.0">
                  <c:v>3.8767455559639061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08960"/>
        <c:axId val="93210880"/>
      </c:scatterChart>
      <c:valAx>
        <c:axId val="93208960"/>
        <c:scaling>
          <c:orientation val="minMax"/>
          <c:max val="7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Eddy</a:t>
                </a:r>
                <a:r>
                  <a:rPr lang="en-US" sz="2000" baseline="0"/>
                  <a:t> covariance weekly ET (mm)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32228785881402799"/>
              <c:y val="0.921290873123618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3720000" vert="horz" anchor="ctr" anchorCtr="1"/>
          <a:lstStyle/>
          <a:p>
            <a:pPr>
              <a:defRPr sz="1050"/>
            </a:pPr>
            <a:endParaRPr lang="en-US"/>
          </a:p>
        </c:txPr>
        <c:crossAx val="93210880"/>
        <c:crosses val="autoZero"/>
        <c:crossBetween val="midCat"/>
      </c:valAx>
      <c:valAx>
        <c:axId val="93210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Weekly</a:t>
                </a:r>
                <a:r>
                  <a:rPr lang="en-US" sz="1800" baseline="0"/>
                  <a:t> ET estimation (mm)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8.3624897566537196E-3"/>
              <c:y val="8.630037624607270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3208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548390161636999"/>
          <c:y val="6.2107559830883202E-2"/>
          <c:w val="0.27593496372304444"/>
          <c:h val="0.296791823435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285749</xdr:colOff>
      <xdr:row>29</xdr:row>
      <xdr:rowOff>66675</xdr:rowOff>
    </xdr:from>
    <xdr:to>
      <xdr:col>21</xdr:col>
      <xdr:colOff>9525</xdr:colOff>
      <xdr:row>59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247234</xdr:colOff>
      <xdr:row>0</xdr:row>
      <xdr:rowOff>0</xdr:rowOff>
    </xdr:from>
    <xdr:to>
      <xdr:col>20</xdr:col>
      <xdr:colOff>171450</xdr:colOff>
      <xdr:row>26</xdr:row>
      <xdr:rowOff>57449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800100</xdr:colOff>
      <xdr:row>1</xdr:row>
      <xdr:rowOff>444500</xdr:rowOff>
    </xdr:from>
    <xdr:to>
      <xdr:col>22</xdr:col>
      <xdr:colOff>215900</xdr:colOff>
      <xdr:row>24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35</xdr:row>
      <xdr:rowOff>127000</xdr:rowOff>
    </xdr:from>
    <xdr:to>
      <xdr:col>16</xdr:col>
      <xdr:colOff>241300</xdr:colOff>
      <xdr:row>62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139700</xdr:colOff>
      <xdr:row>62</xdr:row>
      <xdr:rowOff>127000</xdr:rowOff>
    </xdr:from>
    <xdr:to>
      <xdr:col>16</xdr:col>
      <xdr:colOff>228600</xdr:colOff>
      <xdr:row>89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317500</xdr:colOff>
      <xdr:row>20</xdr:row>
      <xdr:rowOff>88900</xdr:rowOff>
    </xdr:from>
    <xdr:to>
      <xdr:col>26</xdr:col>
      <xdr:colOff>609600</xdr:colOff>
      <xdr:row>49</xdr:row>
      <xdr:rowOff>88900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topLeftCell="B1" zoomScale="70" zoomScaleNormal="70" workbookViewId="0">
      <selection activeCell="F2" sqref="F2"/>
    </sheetView>
  </sheetViews>
  <sheetFormatPr defaultColWidth="8.85546875" defaultRowHeight="15" x14ac:dyDescent="0.25"/>
  <cols>
    <col min="1" max="1" width="21.42578125" customWidth="1"/>
    <col min="2" max="2" width="12.140625" customWidth="1"/>
    <col min="3" max="3" width="12.7109375" customWidth="1"/>
    <col min="6" max="7" width="12" bestFit="1" customWidth="1"/>
    <col min="8" max="8" width="13.28515625" customWidth="1"/>
    <col min="9" max="9" width="11.140625" customWidth="1"/>
  </cols>
  <sheetData>
    <row r="1" spans="1:18" x14ac:dyDescent="0.25">
      <c r="H1">
        <v>15300</v>
      </c>
      <c r="I1" t="s">
        <v>0</v>
      </c>
    </row>
    <row r="2" spans="1:18" x14ac:dyDescent="0.25">
      <c r="H2">
        <v>59</v>
      </c>
      <c r="I2" t="s">
        <v>7</v>
      </c>
    </row>
    <row r="3" spans="1:18" x14ac:dyDescent="0.25">
      <c r="H3">
        <v>646</v>
      </c>
      <c r="I3" t="s">
        <v>8</v>
      </c>
    </row>
    <row r="5" spans="1:18" ht="15.75" x14ac:dyDescent="0.25">
      <c r="B5" s="12" t="s">
        <v>4</v>
      </c>
      <c r="C5" s="12" t="s">
        <v>6</v>
      </c>
      <c r="D5" s="12" t="s">
        <v>1</v>
      </c>
      <c r="E5" s="12" t="s">
        <v>3</v>
      </c>
      <c r="F5" s="12" t="s">
        <v>2</v>
      </c>
      <c r="G5" s="12" t="s">
        <v>19</v>
      </c>
      <c r="H5" s="12" t="s">
        <v>15</v>
      </c>
      <c r="I5" s="12" t="s">
        <v>16</v>
      </c>
      <c r="L5" s="1"/>
      <c r="M5" s="1"/>
      <c r="N5" s="1"/>
      <c r="O5" s="1"/>
      <c r="P5" s="1"/>
      <c r="Q5" s="1"/>
      <c r="R5" s="2"/>
    </row>
    <row r="6" spans="1:18" x14ac:dyDescent="0.25">
      <c r="A6" t="s">
        <v>14</v>
      </c>
      <c r="B6" s="3">
        <v>604.50009024638928</v>
      </c>
      <c r="C6" s="3">
        <v>683.51029370499987</v>
      </c>
      <c r="D6" s="3">
        <v>714</v>
      </c>
      <c r="E6" s="3">
        <v>668</v>
      </c>
      <c r="F6" s="3">
        <v>617</v>
      </c>
      <c r="G6" s="13">
        <v>608</v>
      </c>
    </row>
    <row r="7" spans="1:18" x14ac:dyDescent="0.25">
      <c r="A7" t="s">
        <v>9</v>
      </c>
      <c r="B7">
        <f t="shared" ref="B7:G7" si="0">MIN(B6,$H$3)/$H$1</f>
        <v>3.9509809820025443E-2</v>
      </c>
      <c r="C7">
        <f t="shared" si="0"/>
        <v>4.2222222222222223E-2</v>
      </c>
      <c r="D7">
        <f t="shared" si="0"/>
        <v>4.2222222222222223E-2</v>
      </c>
      <c r="E7">
        <f t="shared" si="0"/>
        <v>4.2222222222222223E-2</v>
      </c>
      <c r="F7">
        <f t="shared" si="0"/>
        <v>4.0326797385620915E-2</v>
      </c>
      <c r="G7">
        <f t="shared" si="0"/>
        <v>3.9738562091503268E-2</v>
      </c>
      <c r="I7">
        <f>G6/D6</f>
        <v>0.85154061624649857</v>
      </c>
    </row>
    <row r="8" spans="1:18" x14ac:dyDescent="0.25">
      <c r="A8" t="s">
        <v>10</v>
      </c>
      <c r="B8">
        <f>(B6-MIN(B6,K3))/$H$1</f>
        <v>0</v>
      </c>
      <c r="C8">
        <f>(C6-MIN(C6,N3))/$H$1</f>
        <v>0</v>
      </c>
      <c r="D8">
        <f>(D6-MIN(D6,H3))/$H$1</f>
        <v>4.4444444444444444E-3</v>
      </c>
      <c r="E8">
        <f>(E6-MIN(E6,J3))/$H$1</f>
        <v>0</v>
      </c>
      <c r="F8">
        <f>(F6-MIN(F6,I3))/$H$1</f>
        <v>0</v>
      </c>
      <c r="G8">
        <f>(G6-MIN(G6,O3))/$H$1</f>
        <v>0</v>
      </c>
    </row>
    <row r="10" spans="1:18" x14ac:dyDescent="0.25">
      <c r="A10" t="s">
        <v>11</v>
      </c>
      <c r="B10" s="3">
        <f t="shared" ref="B10:D11" si="1">B7*10000</f>
        <v>395.09809820025441</v>
      </c>
      <c r="C10" s="3">
        <f t="shared" si="1"/>
        <v>422.22222222222223</v>
      </c>
      <c r="D10" s="3">
        <f t="shared" si="1"/>
        <v>422.22222222222223</v>
      </c>
      <c r="E10" s="3">
        <f t="shared" ref="E10" si="2">E7*10000</f>
        <v>422.22222222222223</v>
      </c>
      <c r="F10" s="3">
        <f>F7*10000</f>
        <v>403.26797385620915</v>
      </c>
      <c r="G10" s="3">
        <f t="shared" ref="G10" si="3">G7*10000</f>
        <v>397.38562091503269</v>
      </c>
      <c r="L10" s="3"/>
      <c r="M10" s="3"/>
      <c r="N10" s="3"/>
      <c r="O10" s="3"/>
      <c r="P10" s="3"/>
      <c r="Q10" s="3"/>
      <c r="R10" s="3"/>
    </row>
    <row r="11" spans="1:18" x14ac:dyDescent="0.25">
      <c r="A11" t="s">
        <v>12</v>
      </c>
      <c r="B11" s="3">
        <f t="shared" si="1"/>
        <v>0</v>
      </c>
      <c r="C11" s="3">
        <f t="shared" si="1"/>
        <v>0</v>
      </c>
      <c r="D11" s="3">
        <f t="shared" si="1"/>
        <v>44.444444444444443</v>
      </c>
      <c r="E11" s="3">
        <f t="shared" ref="E11" si="4">E8*10000</f>
        <v>0</v>
      </c>
      <c r="F11" s="3">
        <f>F8*10000</f>
        <v>0</v>
      </c>
      <c r="G11" s="3">
        <f t="shared" ref="G11" si="5">G8*10000</f>
        <v>0</v>
      </c>
      <c r="L11" s="3"/>
      <c r="M11" s="3"/>
      <c r="N11" s="3"/>
      <c r="O11" s="3"/>
      <c r="P11" s="3"/>
      <c r="Q11" s="3"/>
      <c r="R11" s="3"/>
    </row>
    <row r="12" spans="1:18" x14ac:dyDescent="0.25">
      <c r="A12" t="s">
        <v>13</v>
      </c>
      <c r="B12" s="3">
        <f>B10+B11</f>
        <v>395.09809820025441</v>
      </c>
      <c r="C12" s="3">
        <f>C10+C11</f>
        <v>422.22222222222223</v>
      </c>
      <c r="D12" s="3">
        <f>D10+D11</f>
        <v>466.66666666666669</v>
      </c>
      <c r="E12" s="3">
        <f>E10+E11</f>
        <v>422.22222222222223</v>
      </c>
      <c r="F12" s="3">
        <f>F10+F11</f>
        <v>403.26797385620915</v>
      </c>
      <c r="G12" s="3">
        <f t="shared" ref="G12" si="6">G10+G11</f>
        <v>397.38562091503269</v>
      </c>
      <c r="L12" s="3"/>
      <c r="M12" s="3"/>
      <c r="N12" s="3"/>
      <c r="O12" s="3"/>
      <c r="P12" s="3"/>
      <c r="Q12" s="3"/>
      <c r="R12" s="3"/>
    </row>
    <row r="14" spans="1:18" x14ac:dyDescent="0.25">
      <c r="A14" s="4">
        <v>10.5</v>
      </c>
      <c r="D14" t="s">
        <v>20</v>
      </c>
    </row>
    <row r="15" spans="1:18" x14ac:dyDescent="0.25">
      <c r="A15" t="s">
        <v>11</v>
      </c>
      <c r="B15" s="3">
        <v>575.71437166322789</v>
      </c>
      <c r="C15" s="3">
        <v>615.23809523809518</v>
      </c>
      <c r="D15" s="3">
        <v>615.23809523809518</v>
      </c>
      <c r="E15" s="3">
        <v>615.23809523809518</v>
      </c>
      <c r="F15" s="3">
        <v>587.61904761904771</v>
      </c>
      <c r="G15" s="3">
        <v>579.04761904761904</v>
      </c>
    </row>
    <row r="16" spans="1:18" x14ac:dyDescent="0.25">
      <c r="A16" t="s">
        <v>12</v>
      </c>
      <c r="B16" s="3">
        <v>0</v>
      </c>
      <c r="C16" s="3">
        <v>0</v>
      </c>
      <c r="D16" s="3">
        <v>64.761904761904759</v>
      </c>
      <c r="E16" s="3">
        <v>0</v>
      </c>
      <c r="F16" s="3">
        <v>0</v>
      </c>
      <c r="G16" s="3">
        <v>0</v>
      </c>
    </row>
    <row r="17" spans="1:9" x14ac:dyDescent="0.25">
      <c r="A17" t="s">
        <v>13</v>
      </c>
      <c r="B17" s="5">
        <v>575.71437166322789</v>
      </c>
      <c r="C17" s="5">
        <v>615.23809523809518</v>
      </c>
      <c r="D17" s="5">
        <v>680</v>
      </c>
      <c r="E17" s="5">
        <v>615.23809523809518</v>
      </c>
      <c r="F17" s="5">
        <v>587.61904761904771</v>
      </c>
      <c r="G17" s="5">
        <v>579.04761904761904</v>
      </c>
    </row>
    <row r="18" spans="1:9" x14ac:dyDescent="0.25">
      <c r="B18" s="3"/>
      <c r="C18" s="3"/>
      <c r="D18" s="3"/>
      <c r="E18" s="3"/>
      <c r="F18" s="3"/>
      <c r="G18" s="3"/>
    </row>
    <row r="19" spans="1:9" x14ac:dyDescent="0.25">
      <c r="A19" s="6">
        <v>14.6</v>
      </c>
      <c r="B19" s="3"/>
      <c r="C19" s="3"/>
      <c r="D19" s="3" t="s">
        <v>21</v>
      </c>
      <c r="E19" s="3"/>
      <c r="F19" s="3"/>
      <c r="G19" s="3"/>
    </row>
    <row r="20" spans="1:9" x14ac:dyDescent="0.25">
      <c r="A20" t="s">
        <v>11</v>
      </c>
      <c r="B20" s="3">
        <v>414.04115770300632</v>
      </c>
      <c r="C20" s="3">
        <v>442.46575342465752</v>
      </c>
      <c r="D20" s="3">
        <v>442.46575342465752</v>
      </c>
      <c r="E20" s="3">
        <v>442.46575342465752</v>
      </c>
      <c r="F20" s="3">
        <v>422.60273972602744</v>
      </c>
      <c r="G20" s="3">
        <v>416.43835616438355</v>
      </c>
    </row>
    <row r="21" spans="1:9" x14ac:dyDescent="0.25">
      <c r="A21" t="s">
        <v>12</v>
      </c>
      <c r="B21" s="3">
        <v>0</v>
      </c>
      <c r="C21" s="3">
        <v>0</v>
      </c>
      <c r="D21" s="3">
        <v>46.575342465753423</v>
      </c>
      <c r="E21" s="3">
        <v>0</v>
      </c>
      <c r="F21" s="3">
        <v>0</v>
      </c>
      <c r="G21" s="3">
        <v>0</v>
      </c>
    </row>
    <row r="22" spans="1:9" x14ac:dyDescent="0.25">
      <c r="A22" t="s">
        <v>13</v>
      </c>
      <c r="B22" s="7">
        <v>414.04115770300632</v>
      </c>
      <c r="C22" s="7">
        <v>442.46575342465752</v>
      </c>
      <c r="D22" s="7">
        <v>489.04109589041093</v>
      </c>
      <c r="E22" s="7">
        <v>442.46575342465752</v>
      </c>
      <c r="F22" s="7">
        <v>422.60273972602744</v>
      </c>
      <c r="G22" s="7">
        <v>416.43835616438355</v>
      </c>
    </row>
    <row r="23" spans="1:9" x14ac:dyDescent="0.25">
      <c r="B23" s="3"/>
      <c r="C23" s="3"/>
      <c r="D23" s="3"/>
      <c r="E23" s="3"/>
      <c r="F23" s="3"/>
      <c r="G23" s="3"/>
    </row>
    <row r="24" spans="1:9" x14ac:dyDescent="0.25">
      <c r="A24" s="8">
        <v>15.7</v>
      </c>
      <c r="B24" s="3"/>
      <c r="C24" s="3"/>
      <c r="D24" s="3" t="s">
        <v>22</v>
      </c>
      <c r="E24" s="3"/>
      <c r="F24" s="3"/>
      <c r="G24" s="3"/>
    </row>
    <row r="25" spans="1:9" x14ac:dyDescent="0.25">
      <c r="A25" t="s">
        <v>11</v>
      </c>
      <c r="B25" s="3">
        <v>385.03190461553453</v>
      </c>
      <c r="C25" s="3">
        <v>411.46496815286628</v>
      </c>
      <c r="D25" s="3">
        <v>411.46496815286628</v>
      </c>
      <c r="E25" s="3">
        <v>411.46496815286628</v>
      </c>
      <c r="F25" s="3">
        <v>392.99363057324842</v>
      </c>
      <c r="G25" s="3">
        <v>387.26114649681529</v>
      </c>
    </row>
    <row r="26" spans="1:9" x14ac:dyDescent="0.25">
      <c r="A26" t="s">
        <v>12</v>
      </c>
      <c r="B26" s="3">
        <v>0</v>
      </c>
      <c r="C26" s="3">
        <v>0</v>
      </c>
      <c r="D26" s="3">
        <v>43.312101910828027</v>
      </c>
      <c r="E26" s="3">
        <v>0</v>
      </c>
      <c r="F26" s="3">
        <v>0</v>
      </c>
      <c r="G26" s="3">
        <v>0</v>
      </c>
    </row>
    <row r="27" spans="1:9" x14ac:dyDescent="0.25">
      <c r="A27" t="s">
        <v>13</v>
      </c>
      <c r="B27" s="9">
        <v>385.03190461553453</v>
      </c>
      <c r="C27" s="9">
        <v>411.46496815286628</v>
      </c>
      <c r="D27" s="9">
        <v>454.77707006369428</v>
      </c>
      <c r="E27" s="9">
        <v>411.46496815286628</v>
      </c>
      <c r="F27" s="9">
        <v>392.99363057324842</v>
      </c>
      <c r="G27" s="9">
        <v>387.26114649681529</v>
      </c>
      <c r="H27">
        <v>680</v>
      </c>
      <c r="I27">
        <v>331</v>
      </c>
    </row>
    <row r="28" spans="1:9" x14ac:dyDescent="0.25">
      <c r="B28" s="3"/>
      <c r="C28" s="3"/>
      <c r="D28" s="3"/>
      <c r="E28" s="3"/>
      <c r="F28" s="3"/>
      <c r="G28" s="3"/>
    </row>
    <row r="29" spans="1:9" x14ac:dyDescent="0.25">
      <c r="A29" s="10">
        <v>16.7</v>
      </c>
      <c r="B29" s="3"/>
      <c r="C29" s="3"/>
      <c r="D29" s="3" t="s">
        <v>23</v>
      </c>
      <c r="E29" s="3"/>
      <c r="F29" s="3"/>
      <c r="G29" s="3"/>
    </row>
    <row r="30" spans="1:9" x14ac:dyDescent="0.25">
      <c r="A30" t="s">
        <v>11</v>
      </c>
      <c r="B30" s="3">
        <v>361.97610194394571</v>
      </c>
      <c r="C30" s="3">
        <v>386.82634730538922</v>
      </c>
      <c r="D30" s="3">
        <v>386.82634730538922</v>
      </c>
      <c r="E30" s="3">
        <v>386.82634730538922</v>
      </c>
      <c r="F30" s="3">
        <v>369.46107784431138</v>
      </c>
      <c r="G30" s="3">
        <v>364.07185628742519</v>
      </c>
    </row>
    <row r="31" spans="1:9" x14ac:dyDescent="0.25">
      <c r="A31" t="s">
        <v>12</v>
      </c>
      <c r="B31" s="3">
        <v>0</v>
      </c>
      <c r="C31" s="3">
        <v>0</v>
      </c>
      <c r="D31" s="3">
        <v>40.718562874251504</v>
      </c>
      <c r="E31" s="3">
        <v>0</v>
      </c>
      <c r="F31" s="3">
        <v>0</v>
      </c>
      <c r="G31" s="3">
        <v>0</v>
      </c>
    </row>
    <row r="32" spans="1:9" x14ac:dyDescent="0.25">
      <c r="A32" t="s">
        <v>13</v>
      </c>
      <c r="B32" s="11">
        <v>361.97610194394571</v>
      </c>
      <c r="C32" s="11">
        <v>386.82634730538922</v>
      </c>
      <c r="D32" s="11">
        <v>427.54491017964074</v>
      </c>
      <c r="E32" s="11">
        <v>386.82634730538922</v>
      </c>
      <c r="F32" s="11">
        <v>369.46107784431138</v>
      </c>
      <c r="G32" s="11">
        <v>364.07185628742519</v>
      </c>
    </row>
    <row r="33" spans="1:9" ht="15.75" x14ac:dyDescent="0.25">
      <c r="A33" s="14">
        <v>18</v>
      </c>
      <c r="B33" s="3"/>
      <c r="C33" s="3"/>
      <c r="D33" s="3" t="s">
        <v>24</v>
      </c>
      <c r="E33" s="3"/>
      <c r="F33" s="3"/>
      <c r="G33" s="3"/>
    </row>
    <row r="34" spans="1:9" x14ac:dyDescent="0.25">
      <c r="A34" t="s">
        <v>11</v>
      </c>
      <c r="B34" s="88">
        <v>335.83338347021623</v>
      </c>
      <c r="C34" s="88">
        <v>358.88888888888886</v>
      </c>
      <c r="D34" s="88">
        <v>358.88888888888886</v>
      </c>
      <c r="E34" s="88">
        <v>358.88888888888886</v>
      </c>
      <c r="F34" s="88">
        <v>342.77777777777777</v>
      </c>
      <c r="G34" s="88">
        <v>337.77777777777777</v>
      </c>
    </row>
    <row r="35" spans="1:9" x14ac:dyDescent="0.25">
      <c r="A35" t="s">
        <v>12</v>
      </c>
      <c r="B35" s="88">
        <v>0</v>
      </c>
      <c r="C35" s="88">
        <v>0</v>
      </c>
      <c r="D35" s="88">
        <v>37.777777777777779</v>
      </c>
      <c r="E35" s="88">
        <v>0</v>
      </c>
      <c r="F35" s="88">
        <v>0</v>
      </c>
      <c r="G35" s="88">
        <v>0</v>
      </c>
    </row>
    <row r="36" spans="1:9" ht="15.75" x14ac:dyDescent="0.25">
      <c r="A36" t="s">
        <v>13</v>
      </c>
      <c r="B36" s="15">
        <v>335.83338347021623</v>
      </c>
      <c r="C36" s="15">
        <v>358.88888888888886</v>
      </c>
      <c r="D36" s="15">
        <v>396.66666666666663</v>
      </c>
      <c r="E36" s="15">
        <v>358.88888888888886</v>
      </c>
      <c r="F36" s="15">
        <v>342.77777777777777</v>
      </c>
      <c r="G36" s="15">
        <v>337.77777777777777</v>
      </c>
    </row>
    <row r="38" spans="1:9" x14ac:dyDescent="0.25">
      <c r="A38" s="16" t="s">
        <v>17</v>
      </c>
      <c r="B38" s="17">
        <f>AVERAGE(B17,B22,B27,B32,B36)</f>
        <v>414.51938387918619</v>
      </c>
      <c r="C38" s="17">
        <f>AVERAGE(C17,C22,C27,C32,C36)</f>
        <v>442.97681060197937</v>
      </c>
      <c r="D38" s="17">
        <f>AVERAGE(D17,D22,D27,D32,D36)</f>
        <v>489.60594856008248</v>
      </c>
      <c r="E38" s="17">
        <f t="shared" ref="E38" si="7">AVERAGE(E17,E22,E27,E32,E36)</f>
        <v>442.97681060197937</v>
      </c>
      <c r="F38" s="17">
        <f>AVERAGE(F17,F22,F27,F32,F36)</f>
        <v>423.09085470808247</v>
      </c>
      <c r="G38" s="17">
        <f>AVERAGE(G17,G22,G27,G32,G36)</f>
        <v>416.91935115480408</v>
      </c>
      <c r="I38">
        <v>331</v>
      </c>
    </row>
    <row r="39" spans="1:9" x14ac:dyDescent="0.25">
      <c r="A39" s="16" t="s">
        <v>18</v>
      </c>
      <c r="B39" s="17">
        <f>STDEV(B17,B22,B27,B32,B36)</f>
        <v>94.61216538741688</v>
      </c>
      <c r="C39" s="17">
        <f>STDEV(C17,C22,C27,C32,C36)</f>
        <v>101.10744369841156</v>
      </c>
      <c r="D39" s="17">
        <f>STDEV(D17,D22,D27,D32,D36)</f>
        <v>111.750332508771</v>
      </c>
      <c r="E39" s="17">
        <f t="shared" ref="E39" si="8">STDEV(E17,E22,E27,E32,E36)</f>
        <v>101.10744369841156</v>
      </c>
      <c r="F39" s="17">
        <f>STDEV(F17,F22,F27,F32,F36)</f>
        <v>96.568564646934888</v>
      </c>
      <c r="G39" s="17">
        <f>STDEV(G17,G22,G27,G32,G36)</f>
        <v>95.159947010269931</v>
      </c>
    </row>
    <row r="42" spans="1:9" x14ac:dyDescent="0.25">
      <c r="A42" t="s">
        <v>156</v>
      </c>
      <c r="B42" t="s">
        <v>162</v>
      </c>
    </row>
    <row r="43" spans="1:9" x14ac:dyDescent="0.25">
      <c r="A43" t="s">
        <v>20</v>
      </c>
      <c r="B43" t="s">
        <v>157</v>
      </c>
      <c r="D43" t="s">
        <v>178</v>
      </c>
    </row>
    <row r="44" spans="1:9" x14ac:dyDescent="0.25">
      <c r="A44" t="s">
        <v>21</v>
      </c>
      <c r="B44" t="s">
        <v>158</v>
      </c>
      <c r="D44">
        <v>701</v>
      </c>
      <c r="E44">
        <v>10.5</v>
      </c>
      <c r="F44">
        <v>668</v>
      </c>
    </row>
    <row r="45" spans="1:9" x14ac:dyDescent="0.25">
      <c r="A45" t="s">
        <v>22</v>
      </c>
      <c r="B45" t="s">
        <v>159</v>
      </c>
      <c r="E45">
        <v>18</v>
      </c>
      <c r="F45">
        <v>389</v>
      </c>
    </row>
    <row r="46" spans="1:9" x14ac:dyDescent="0.25">
      <c r="A46" t="s">
        <v>23</v>
      </c>
      <c r="B46" t="s">
        <v>160</v>
      </c>
    </row>
    <row r="47" spans="1:9" x14ac:dyDescent="0.25">
      <c r="A47" t="s">
        <v>24</v>
      </c>
      <c r="B47" t="s">
        <v>161</v>
      </c>
    </row>
    <row r="49" spans="1:1" x14ac:dyDescent="0.25">
      <c r="A49" t="s">
        <v>24</v>
      </c>
    </row>
    <row r="50" spans="1:1" x14ac:dyDescent="0.25">
      <c r="A50" t="s">
        <v>23</v>
      </c>
    </row>
    <row r="51" spans="1:1" x14ac:dyDescent="0.25">
      <c r="A51" t="s">
        <v>22</v>
      </c>
    </row>
    <row r="52" spans="1:1" x14ac:dyDescent="0.25">
      <c r="A52" t="s">
        <v>21</v>
      </c>
    </row>
    <row r="53" spans="1:1" x14ac:dyDescent="0.25">
      <c r="A53" t="s">
        <v>20</v>
      </c>
    </row>
  </sheetData>
  <pageMargins left="0.7" right="0.7" top="0.75" bottom="0.75" header="0.3" footer="0.3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W31"/>
  <sheetViews>
    <sheetView tabSelected="1" topLeftCell="A39" workbookViewId="0">
      <selection activeCell="F55" sqref="F55"/>
    </sheetView>
  </sheetViews>
  <sheetFormatPr defaultColWidth="10.7109375" defaultRowHeight="15" x14ac:dyDescent="0.25"/>
  <sheetData>
    <row r="1" spans="1:153" s="2" customFormat="1" ht="12" x14ac:dyDescent="0.2">
      <c r="J1" s="2" t="s">
        <v>19</v>
      </c>
      <c r="K1" s="2" t="s">
        <v>19</v>
      </c>
      <c r="L1" s="74" t="s">
        <v>1</v>
      </c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69"/>
      <c r="Y1" s="69"/>
      <c r="Z1" s="47"/>
      <c r="AA1" s="75" t="s">
        <v>3</v>
      </c>
      <c r="AB1" s="75"/>
      <c r="AC1" s="75"/>
      <c r="AD1" s="75"/>
      <c r="AE1" s="75"/>
      <c r="AF1" s="75"/>
      <c r="AG1" s="75"/>
      <c r="AH1" s="75"/>
      <c r="AI1" s="75"/>
      <c r="AJ1" s="48"/>
      <c r="AK1" s="48"/>
      <c r="AL1" s="48"/>
      <c r="AM1" s="76" t="s">
        <v>48</v>
      </c>
      <c r="AN1" s="76"/>
      <c r="AO1" s="76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6"/>
      <c r="BE1" s="49"/>
      <c r="BF1" s="49"/>
      <c r="BG1" s="49"/>
      <c r="BH1" s="49"/>
      <c r="BI1" s="49"/>
      <c r="BJ1" s="49" t="s">
        <v>49</v>
      </c>
      <c r="BK1" s="49"/>
      <c r="BL1" s="49"/>
      <c r="BM1" s="47"/>
      <c r="BN1" s="78" t="s">
        <v>2</v>
      </c>
      <c r="BO1" s="78"/>
      <c r="BP1" s="78"/>
      <c r="BQ1" s="78"/>
      <c r="BT1" s="39"/>
      <c r="BU1" s="39" t="s">
        <v>50</v>
      </c>
      <c r="BV1" s="39"/>
      <c r="BW1" s="39"/>
      <c r="BX1" s="39"/>
      <c r="BY1" s="50"/>
      <c r="BZ1" s="39"/>
      <c r="CA1" s="39"/>
      <c r="CB1" s="39"/>
      <c r="CC1" s="39"/>
      <c r="CD1" s="39"/>
      <c r="CH1" s="51" t="s">
        <v>51</v>
      </c>
      <c r="CI1" s="51"/>
      <c r="CJ1" s="51"/>
      <c r="CK1" s="51"/>
      <c r="CL1" s="51"/>
      <c r="CM1" s="51"/>
      <c r="CN1" s="51"/>
      <c r="CP1" s="47" t="s">
        <v>52</v>
      </c>
      <c r="CQ1" s="47"/>
      <c r="CT1" s="1" t="s">
        <v>53</v>
      </c>
      <c r="CU1" s="1"/>
      <c r="CV1" s="1"/>
      <c r="CW1" s="1"/>
      <c r="CX1" s="1"/>
      <c r="CY1" s="1"/>
      <c r="CZ1" s="1" t="s">
        <v>54</v>
      </c>
      <c r="DA1" s="1"/>
      <c r="DB1" s="1"/>
      <c r="DC1" s="1"/>
      <c r="DD1" s="1"/>
      <c r="DE1" s="1"/>
      <c r="DI1" s="2" t="s">
        <v>55</v>
      </c>
      <c r="DJ1" s="45"/>
      <c r="DK1" s="45"/>
      <c r="DL1" s="45"/>
      <c r="DM1" s="52"/>
      <c r="DU1" s="41"/>
      <c r="EA1" s="41" t="s">
        <v>56</v>
      </c>
      <c r="EJ1" s="2" t="s">
        <v>57</v>
      </c>
    </row>
    <row r="2" spans="1:153" s="2" customFormat="1" ht="48" x14ac:dyDescent="0.2">
      <c r="A2" s="53" t="s">
        <v>58</v>
      </c>
      <c r="B2" s="53" t="s">
        <v>59</v>
      </c>
      <c r="C2" s="53" t="s">
        <v>60</v>
      </c>
      <c r="D2" s="53" t="s">
        <v>61</v>
      </c>
      <c r="E2" s="54" t="s">
        <v>62</v>
      </c>
      <c r="F2" s="54" t="s">
        <v>63</v>
      </c>
      <c r="G2" s="54" t="s">
        <v>64</v>
      </c>
      <c r="H2" s="54" t="s">
        <v>65</v>
      </c>
      <c r="I2" s="54" t="s">
        <v>66</v>
      </c>
      <c r="J2" s="54" t="s">
        <v>154</v>
      </c>
      <c r="K2" s="54" t="s">
        <v>155</v>
      </c>
      <c r="L2" s="55" t="s">
        <v>14</v>
      </c>
      <c r="M2" s="55" t="s">
        <v>67</v>
      </c>
      <c r="N2" s="55" t="s">
        <v>68</v>
      </c>
      <c r="O2" s="55" t="s">
        <v>69</v>
      </c>
      <c r="P2" s="55" t="s">
        <v>70</v>
      </c>
      <c r="Q2" s="55" t="s">
        <v>71</v>
      </c>
      <c r="R2" s="55" t="s">
        <v>72</v>
      </c>
      <c r="S2" s="55" t="s">
        <v>73</v>
      </c>
      <c r="T2" s="55" t="s">
        <v>74</v>
      </c>
      <c r="U2" s="56" t="s">
        <v>75</v>
      </c>
      <c r="V2" s="55" t="s">
        <v>76</v>
      </c>
      <c r="W2" s="55" t="s">
        <v>77</v>
      </c>
      <c r="X2" s="55" t="s">
        <v>78</v>
      </c>
      <c r="Y2" s="55" t="s">
        <v>79</v>
      </c>
      <c r="Z2" s="53"/>
      <c r="AA2" s="57" t="s">
        <v>14</v>
      </c>
      <c r="AB2" s="57" t="s">
        <v>67</v>
      </c>
      <c r="AC2" s="57" t="s">
        <v>80</v>
      </c>
      <c r="AD2" s="57" t="s">
        <v>81</v>
      </c>
      <c r="AE2" s="57" t="s">
        <v>82</v>
      </c>
      <c r="AF2" s="57" t="s">
        <v>83</v>
      </c>
      <c r="AG2" s="57" t="s">
        <v>75</v>
      </c>
      <c r="AH2" s="57" t="s">
        <v>77</v>
      </c>
      <c r="AI2" s="57" t="s">
        <v>84</v>
      </c>
      <c r="AJ2" s="57" t="s">
        <v>85</v>
      </c>
      <c r="AK2" s="57" t="s">
        <v>76</v>
      </c>
      <c r="AL2" s="57" t="s">
        <v>86</v>
      </c>
      <c r="AM2" s="58" t="s">
        <v>87</v>
      </c>
      <c r="AN2" s="59" t="s">
        <v>88</v>
      </c>
      <c r="AO2" s="58" t="s">
        <v>89</v>
      </c>
      <c r="AP2" s="60" t="s">
        <v>90</v>
      </c>
      <c r="AQ2" s="60" t="s">
        <v>91</v>
      </c>
      <c r="AR2" s="60" t="s">
        <v>92</v>
      </c>
      <c r="AS2" s="58" t="s">
        <v>93</v>
      </c>
      <c r="AT2" s="61" t="s">
        <v>94</v>
      </c>
      <c r="AU2" s="61" t="s">
        <v>95</v>
      </c>
      <c r="AV2" s="61" t="s">
        <v>77</v>
      </c>
      <c r="AW2" s="61" t="s">
        <v>96</v>
      </c>
      <c r="AX2" s="61" t="s">
        <v>97</v>
      </c>
      <c r="AY2" s="61" t="s">
        <v>98</v>
      </c>
      <c r="AZ2" s="61" t="s">
        <v>99</v>
      </c>
      <c r="BA2" s="61" t="s">
        <v>100</v>
      </c>
      <c r="BB2" s="62" t="s">
        <v>101</v>
      </c>
      <c r="BC2" s="62" t="s">
        <v>102</v>
      </c>
      <c r="BD2" s="63" t="s">
        <v>103</v>
      </c>
      <c r="BE2" s="61" t="s">
        <v>96</v>
      </c>
      <c r="BF2" s="61" t="s">
        <v>104</v>
      </c>
      <c r="BG2" s="61" t="s">
        <v>105</v>
      </c>
      <c r="BH2" s="61" t="s">
        <v>106</v>
      </c>
      <c r="BI2" s="61" t="s">
        <v>107</v>
      </c>
      <c r="BJ2" s="61" t="s">
        <v>108</v>
      </c>
      <c r="BK2" s="61" t="s">
        <v>109</v>
      </c>
      <c r="BL2" s="61" t="s">
        <v>110</v>
      </c>
      <c r="BN2" s="64" t="s">
        <v>14</v>
      </c>
      <c r="BO2" s="64" t="s">
        <v>67</v>
      </c>
      <c r="BP2" s="65" t="s">
        <v>96</v>
      </c>
      <c r="BQ2" s="65" t="s">
        <v>111</v>
      </c>
      <c r="BT2" s="66" t="s">
        <v>112</v>
      </c>
      <c r="BU2" s="66" t="s">
        <v>113</v>
      </c>
      <c r="BV2" s="66" t="s">
        <v>114</v>
      </c>
      <c r="BW2" s="66" t="s">
        <v>115</v>
      </c>
      <c r="BX2" s="66" t="s">
        <v>116</v>
      </c>
      <c r="BY2" s="67" t="s">
        <v>117</v>
      </c>
      <c r="BZ2" s="66" t="s">
        <v>118</v>
      </c>
      <c r="CA2" s="66" t="s">
        <v>119</v>
      </c>
      <c r="CB2" s="66" t="s">
        <v>120</v>
      </c>
      <c r="CC2" s="39" t="s">
        <v>121</v>
      </c>
      <c r="CD2" s="68" t="s">
        <v>122</v>
      </c>
      <c r="CH2" s="69" t="s">
        <v>123</v>
      </c>
      <c r="CI2" s="69" t="s">
        <v>124</v>
      </c>
      <c r="CJ2" s="69" t="s">
        <v>125</v>
      </c>
      <c r="CK2" s="69" t="s">
        <v>126</v>
      </c>
      <c r="CL2" s="69" t="s">
        <v>127</v>
      </c>
      <c r="CM2" s="69" t="s">
        <v>87</v>
      </c>
      <c r="CN2" s="69" t="s">
        <v>128</v>
      </c>
      <c r="CP2" s="53" t="s">
        <v>129</v>
      </c>
      <c r="CQ2" s="53" t="s">
        <v>130</v>
      </c>
      <c r="CT2" s="1" t="s">
        <v>1</v>
      </c>
      <c r="CU2" s="1" t="s">
        <v>2</v>
      </c>
      <c r="CV2" s="1" t="s">
        <v>3</v>
      </c>
      <c r="CW2" s="1" t="s">
        <v>4</v>
      </c>
      <c r="CX2" s="1" t="s">
        <v>131</v>
      </c>
      <c r="CY2" s="1" t="s">
        <v>5</v>
      </c>
      <c r="CZ2" s="1" t="s">
        <v>1</v>
      </c>
      <c r="DA2" s="1" t="s">
        <v>2</v>
      </c>
      <c r="DB2" s="1" t="s">
        <v>3</v>
      </c>
      <c r="DC2" s="1" t="s">
        <v>4</v>
      </c>
      <c r="DD2" s="1" t="s">
        <v>131</v>
      </c>
      <c r="DE2" s="1" t="s">
        <v>5</v>
      </c>
      <c r="DF2" s="2" t="s">
        <v>6</v>
      </c>
      <c r="DI2" s="70" t="s">
        <v>132</v>
      </c>
      <c r="DJ2" s="71" t="s">
        <v>133</v>
      </c>
      <c r="DK2" s="71" t="s">
        <v>134</v>
      </c>
      <c r="DL2" s="71" t="s">
        <v>135</v>
      </c>
      <c r="DM2" s="72" t="s">
        <v>136</v>
      </c>
      <c r="DN2" s="70" t="s">
        <v>137</v>
      </c>
      <c r="DO2" s="70" t="s">
        <v>138</v>
      </c>
      <c r="DP2" s="70" t="s">
        <v>139</v>
      </c>
      <c r="DQ2" s="70" t="s">
        <v>140</v>
      </c>
      <c r="DR2" s="70" t="s">
        <v>141</v>
      </c>
      <c r="DS2" s="70" t="s">
        <v>142</v>
      </c>
      <c r="DT2" s="70" t="s">
        <v>143</v>
      </c>
      <c r="DU2" s="73" t="s">
        <v>144</v>
      </c>
      <c r="DV2" s="70" t="s">
        <v>145</v>
      </c>
      <c r="DW2" s="70" t="s">
        <v>146</v>
      </c>
      <c r="DX2" s="70" t="s">
        <v>147</v>
      </c>
      <c r="DY2" s="70" t="s">
        <v>148</v>
      </c>
      <c r="DZ2" s="70"/>
      <c r="EA2" s="73" t="s">
        <v>149</v>
      </c>
      <c r="EB2" s="70" t="s">
        <v>146</v>
      </c>
      <c r="EE2" s="70" t="s">
        <v>150</v>
      </c>
      <c r="EJ2" s="70" t="s">
        <v>151</v>
      </c>
      <c r="EL2" s="2" t="s">
        <v>152</v>
      </c>
      <c r="EM2" s="2" t="s">
        <v>153</v>
      </c>
    </row>
    <row r="6" spans="1:153" x14ac:dyDescent="0.25">
      <c r="A6" s="18">
        <v>41243</v>
      </c>
      <c r="B6" s="18">
        <v>41249</v>
      </c>
      <c r="C6" s="19" t="s">
        <v>25</v>
      </c>
      <c r="D6" s="20">
        <v>4</v>
      </c>
      <c r="E6" s="19" t="s">
        <v>26</v>
      </c>
      <c r="F6" s="21" t="s">
        <v>27</v>
      </c>
      <c r="G6" s="21" t="s">
        <v>28</v>
      </c>
      <c r="H6" s="22">
        <v>41248</v>
      </c>
      <c r="I6" s="19"/>
      <c r="J6">
        <v>0</v>
      </c>
      <c r="K6">
        <v>0</v>
      </c>
      <c r="L6" s="23">
        <v>0</v>
      </c>
      <c r="M6" s="20">
        <f>L6</f>
        <v>0</v>
      </c>
      <c r="N6" s="23">
        <v>0</v>
      </c>
      <c r="O6" s="23">
        <v>0.55000000000000004</v>
      </c>
      <c r="P6" s="20"/>
      <c r="Q6" s="20">
        <f>O6</f>
        <v>0.55000000000000004</v>
      </c>
      <c r="R6" s="24" t="str">
        <f t="shared" ref="R6:R19" si="0">IF(AND($BH6=1,$BH5=0),$BG6,IF($BH6=0,"",O6+R5))</f>
        <v/>
      </c>
      <c r="S6" s="20"/>
      <c r="T6" s="20"/>
      <c r="U6" s="23">
        <v>0</v>
      </c>
      <c r="V6" s="23">
        <v>0.1</v>
      </c>
      <c r="W6" s="23">
        <v>0</v>
      </c>
      <c r="X6" s="23">
        <v>1.01</v>
      </c>
      <c r="Y6" s="23">
        <v>1.01</v>
      </c>
      <c r="Z6" s="20"/>
      <c r="AA6" s="20">
        <v>0</v>
      </c>
      <c r="AB6" s="20">
        <v>0</v>
      </c>
      <c r="AC6" s="20"/>
      <c r="AD6" s="20">
        <v>0</v>
      </c>
      <c r="AE6" s="20">
        <v>0</v>
      </c>
      <c r="AF6" s="20">
        <v>0</v>
      </c>
      <c r="AG6" s="20">
        <v>0</v>
      </c>
      <c r="AH6" s="20"/>
      <c r="AI6" s="20"/>
      <c r="AJ6" s="20"/>
      <c r="AK6" s="20">
        <v>0</v>
      </c>
      <c r="AL6" s="20"/>
      <c r="AM6" s="25">
        <v>2.6</v>
      </c>
      <c r="AN6" s="24"/>
      <c r="AO6" s="20"/>
      <c r="AP6" s="24"/>
      <c r="AQ6" s="24"/>
      <c r="AR6" s="24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1"/>
      <c r="BE6" s="20"/>
      <c r="BF6" s="20"/>
      <c r="BG6" s="26">
        <v>0</v>
      </c>
      <c r="BH6" s="20"/>
      <c r="BI6" s="20"/>
      <c r="BJ6" s="20"/>
      <c r="BK6" s="20"/>
      <c r="BL6" s="20"/>
      <c r="BM6" s="20"/>
      <c r="BN6" s="20">
        <v>0</v>
      </c>
      <c r="BO6" s="20">
        <v>0</v>
      </c>
      <c r="BP6" s="20">
        <v>0.02</v>
      </c>
      <c r="BQ6" s="20">
        <v>2</v>
      </c>
      <c r="BR6" s="20"/>
      <c r="BS6" s="20"/>
      <c r="BT6" s="20"/>
      <c r="BU6" s="20"/>
      <c r="BV6" s="20"/>
      <c r="BW6" s="20"/>
      <c r="BX6" s="20"/>
      <c r="BY6" s="24"/>
      <c r="BZ6" s="20"/>
      <c r="CA6" s="20"/>
      <c r="CB6" s="20"/>
      <c r="CC6" s="20"/>
      <c r="CD6" s="20"/>
      <c r="CE6" s="20"/>
      <c r="CF6" s="20"/>
      <c r="CG6" s="20"/>
      <c r="CH6" s="24" t="e">
        <f t="shared" ref="CH6" si="1">#REF!</f>
        <v>#REF!</v>
      </c>
      <c r="CI6" s="24" t="e">
        <f t="shared" ref="CI6" si="2">#REF!</f>
        <v>#REF!</v>
      </c>
      <c r="CJ6" s="24" t="e">
        <f t="shared" ref="CJ6" si="3">#REF!</f>
        <v>#REF!</v>
      </c>
      <c r="CK6" s="24" t="e">
        <f t="shared" ref="CK6" si="4">#REF!</f>
        <v>#REF!</v>
      </c>
      <c r="CL6" s="24" t="e">
        <f t="shared" ref="CL6" si="5">#REF!</f>
        <v>#REF!</v>
      </c>
      <c r="CM6" s="24" t="e">
        <f t="shared" ref="CM6" si="6">#REF!</f>
        <v>#REF!</v>
      </c>
      <c r="CN6" s="24" t="e">
        <f t="shared" ref="CN6" si="7">#REF!</f>
        <v>#REF!</v>
      </c>
      <c r="CO6" s="20"/>
      <c r="CP6" s="27"/>
      <c r="CQ6" s="27"/>
      <c r="CR6" s="20"/>
      <c r="CS6" s="20"/>
      <c r="CT6" s="2">
        <f t="shared" ref="CT6:CT31" si="8">L6</f>
        <v>0</v>
      </c>
      <c r="CU6" s="2">
        <f t="shared" ref="CU6:CU31" si="9">BN6</f>
        <v>0</v>
      </c>
      <c r="CV6" s="2">
        <f t="shared" ref="CV6:CV31" si="10">AA6</f>
        <v>0</v>
      </c>
      <c r="CW6" s="2">
        <f t="shared" ref="CW6:CW28" si="11">BJ6</f>
        <v>0</v>
      </c>
      <c r="CX6" s="2">
        <f t="shared" ref="CX6:CX23" si="12">CA6</f>
        <v>0</v>
      </c>
      <c r="CY6" s="2">
        <f t="shared" ref="CY6:CY23" si="13">BZ6</f>
        <v>0</v>
      </c>
      <c r="CZ6" s="20"/>
      <c r="DA6" s="20"/>
      <c r="DB6" s="20"/>
      <c r="DC6" s="20"/>
      <c r="DD6" s="20"/>
      <c r="DE6" s="20"/>
      <c r="DF6" s="2"/>
      <c r="DG6" s="2"/>
      <c r="DH6" s="2"/>
      <c r="DI6" s="2">
        <f t="shared" ref="DI6:DI31" si="14">U6</f>
        <v>0</v>
      </c>
      <c r="DJ6" s="2">
        <f t="shared" ref="DJ6:DJ10" si="15">O6</f>
        <v>0.55000000000000004</v>
      </c>
      <c r="DK6" s="2">
        <f t="shared" ref="DK6:DK31" si="16">DJ6*0.85</f>
        <v>0.46750000000000003</v>
      </c>
      <c r="DL6" s="2">
        <f t="shared" ref="DL6:DL31" si="17">DJ6*1.28</f>
        <v>0.70400000000000007</v>
      </c>
      <c r="DM6" s="1">
        <f>DL6*(DI6*0.005+0.55)</f>
        <v>0.38720000000000004</v>
      </c>
      <c r="DN6" s="2" t="str">
        <f t="shared" ref="DN6:DN31" si="18">IF(BF6="","",BF6)</f>
        <v/>
      </c>
      <c r="DO6" s="2" t="str">
        <f t="shared" ref="DO6:DO31" si="19">IF(BE6="","",BE6)</f>
        <v/>
      </c>
      <c r="DP6" s="2">
        <f t="shared" ref="DP6:DP31" si="20">AD6</f>
        <v>0</v>
      </c>
      <c r="DQ6" s="2">
        <f t="shared" ref="DQ6:DQ31" si="21">AG6</f>
        <v>0</v>
      </c>
      <c r="DR6" s="2"/>
      <c r="DS6" s="2"/>
      <c r="DT6" s="2"/>
      <c r="DU6" s="2">
        <f>DM6</f>
        <v>0.38720000000000004</v>
      </c>
      <c r="DV6" s="2"/>
      <c r="DW6" s="2"/>
      <c r="DX6" s="2"/>
      <c r="DY6" s="2"/>
      <c r="DZ6" s="2"/>
      <c r="EA6" s="2">
        <f>O6</f>
        <v>0.55000000000000004</v>
      </c>
      <c r="EB6" s="2"/>
      <c r="EC6" s="2"/>
      <c r="ED6" s="2"/>
      <c r="EE6" s="2"/>
      <c r="EF6" s="2"/>
      <c r="EG6" s="2"/>
      <c r="EH6" s="2"/>
      <c r="EI6" s="2"/>
      <c r="EJ6" s="2"/>
      <c r="EK6" s="2"/>
      <c r="EL6" s="2">
        <f>N6</f>
        <v>0</v>
      </c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</row>
    <row r="7" spans="1:153" s="13" customFormat="1" x14ac:dyDescent="0.25">
      <c r="A7" s="79">
        <v>41250</v>
      </c>
      <c r="B7" s="79">
        <v>41256</v>
      </c>
      <c r="C7" s="80" t="s">
        <v>25</v>
      </c>
      <c r="D7" s="37">
        <v>4</v>
      </c>
      <c r="E7" s="80" t="s">
        <v>26</v>
      </c>
      <c r="F7" s="80" t="s">
        <v>27</v>
      </c>
      <c r="G7" s="80" t="s">
        <v>28</v>
      </c>
      <c r="H7" s="80"/>
      <c r="I7" s="80"/>
      <c r="J7" s="13">
        <v>15.600000000000001</v>
      </c>
      <c r="K7" s="13">
        <f>J7+K6</f>
        <v>15.600000000000001</v>
      </c>
      <c r="L7" s="81">
        <v>13.7799999999999</v>
      </c>
      <c r="M7" s="37">
        <f>M6+L7</f>
        <v>13.7799999999999</v>
      </c>
      <c r="N7" s="81">
        <v>0</v>
      </c>
      <c r="O7" s="81">
        <v>0.56000000000000005</v>
      </c>
      <c r="P7" s="37"/>
      <c r="Q7" s="37">
        <f t="shared" ref="Q7:Q31" si="22">Q6+O7</f>
        <v>1.1100000000000001</v>
      </c>
      <c r="R7" s="82" t="str">
        <f t="shared" si="0"/>
        <v/>
      </c>
      <c r="S7" s="37"/>
      <c r="T7" s="37"/>
      <c r="U7" s="81">
        <v>0</v>
      </c>
      <c r="V7" s="81">
        <v>0.1</v>
      </c>
      <c r="W7" s="81">
        <v>0</v>
      </c>
      <c r="X7" s="81"/>
      <c r="Y7" s="81"/>
      <c r="Z7" s="37"/>
      <c r="AA7" s="37">
        <v>4.6000000000000005</v>
      </c>
      <c r="AB7" s="37">
        <f>AB6+AA7</f>
        <v>4.6000000000000005</v>
      </c>
      <c r="AC7" s="37"/>
      <c r="AD7" s="37">
        <v>0</v>
      </c>
      <c r="AE7" s="37">
        <v>0</v>
      </c>
      <c r="AF7" s="37">
        <v>0</v>
      </c>
      <c r="AG7" s="37">
        <v>0</v>
      </c>
      <c r="AH7" s="37"/>
      <c r="AI7" s="37"/>
      <c r="AJ7" s="37"/>
      <c r="AK7" s="37">
        <v>0</v>
      </c>
      <c r="AL7" s="37"/>
      <c r="AM7" s="83">
        <v>5.8</v>
      </c>
      <c r="AN7" s="82"/>
      <c r="AO7" s="81"/>
      <c r="AP7" s="84"/>
      <c r="AQ7" s="84"/>
      <c r="AR7" s="84"/>
      <c r="AS7" s="37"/>
      <c r="AT7" s="37"/>
      <c r="AU7" s="37"/>
      <c r="AV7" s="37"/>
      <c r="AW7" s="37"/>
      <c r="AX7" s="37"/>
      <c r="AY7" s="37"/>
      <c r="AZ7" s="37">
        <v>0.05</v>
      </c>
      <c r="BA7" s="37"/>
      <c r="BB7" s="37"/>
      <c r="BC7" s="37"/>
      <c r="BD7" s="85"/>
      <c r="BE7" s="37"/>
      <c r="BF7" s="37"/>
      <c r="BG7" s="86">
        <v>0</v>
      </c>
      <c r="BH7" s="37"/>
      <c r="BI7" s="37"/>
      <c r="BJ7" s="37"/>
      <c r="BK7" s="37"/>
      <c r="BL7" s="37"/>
      <c r="BM7" s="37"/>
      <c r="BN7" s="85">
        <v>20.799999999999997</v>
      </c>
      <c r="BO7" s="85">
        <f>BN7+BO6</f>
        <v>20.799999999999997</v>
      </c>
      <c r="BP7" s="85">
        <v>0.05</v>
      </c>
      <c r="BQ7" s="37">
        <v>5</v>
      </c>
      <c r="BR7" s="37"/>
      <c r="BS7" s="37"/>
      <c r="BT7" s="37"/>
      <c r="BU7" s="37"/>
      <c r="BV7" s="37"/>
      <c r="BW7" s="37"/>
      <c r="BX7" s="37"/>
      <c r="BY7" s="84"/>
      <c r="BZ7" s="37">
        <v>17.024353999999999</v>
      </c>
      <c r="CA7" s="37"/>
      <c r="CB7" s="37"/>
      <c r="CC7" s="37"/>
      <c r="CD7" s="37"/>
      <c r="CE7" s="37"/>
      <c r="CF7" s="37"/>
      <c r="CG7" s="37"/>
      <c r="CH7" s="84" t="e">
        <f t="shared" ref="CH7" si="23">#REF!</f>
        <v>#REF!</v>
      </c>
      <c r="CI7" s="84" t="e">
        <f t="shared" ref="CI7" si="24">#REF!</f>
        <v>#REF!</v>
      </c>
      <c r="CJ7" s="84" t="e">
        <f t="shared" ref="CJ7" si="25">#REF!</f>
        <v>#REF!</v>
      </c>
      <c r="CK7" s="84" t="e">
        <f t="shared" ref="CK7" si="26">#REF!</f>
        <v>#REF!</v>
      </c>
      <c r="CL7" s="84" t="e">
        <f t="shared" ref="CL7" si="27">#REF!</f>
        <v>#REF!</v>
      </c>
      <c r="CM7" s="84" t="e">
        <f t="shared" ref="CM7" si="28">#REF!</f>
        <v>#REF!</v>
      </c>
      <c r="CN7" s="84" t="e">
        <f t="shared" ref="CN7" si="29">#REF!</f>
        <v>#REF!</v>
      </c>
      <c r="CO7" s="37"/>
      <c r="CP7" s="87"/>
      <c r="CQ7" s="87"/>
      <c r="CR7" s="37"/>
      <c r="CS7" s="37"/>
      <c r="CT7" s="37">
        <f t="shared" si="8"/>
        <v>13.7799999999999</v>
      </c>
      <c r="CU7" s="37">
        <f t="shared" si="9"/>
        <v>20.799999999999997</v>
      </c>
      <c r="CV7" s="37">
        <f t="shared" si="10"/>
        <v>4.6000000000000005</v>
      </c>
      <c r="CW7" s="37">
        <f t="shared" si="11"/>
        <v>0</v>
      </c>
      <c r="CX7" s="37">
        <f t="shared" si="12"/>
        <v>0</v>
      </c>
      <c r="CY7" s="37">
        <f t="shared" si="13"/>
        <v>17.024353999999999</v>
      </c>
      <c r="CZ7" s="37"/>
      <c r="DA7" s="37"/>
      <c r="DB7" s="37"/>
      <c r="DC7" s="37"/>
      <c r="DD7" s="37"/>
      <c r="DE7" s="37"/>
      <c r="DF7" s="37"/>
      <c r="DG7" s="37"/>
      <c r="DH7" s="37"/>
      <c r="DI7" s="37">
        <f t="shared" si="14"/>
        <v>0</v>
      </c>
      <c r="DJ7" s="37">
        <f t="shared" si="15"/>
        <v>0.56000000000000005</v>
      </c>
      <c r="DK7" s="37">
        <f t="shared" si="16"/>
        <v>0.47600000000000003</v>
      </c>
      <c r="DL7" s="37">
        <f t="shared" si="17"/>
        <v>0.7168000000000001</v>
      </c>
      <c r="DM7" s="85">
        <f t="shared" ref="DM7:DM10" si="30">DL7*(DI7*0.005+0.55)</f>
        <v>0.39424000000000009</v>
      </c>
      <c r="DN7" s="37" t="str">
        <f t="shared" si="18"/>
        <v/>
      </c>
      <c r="DO7" s="37" t="str">
        <f t="shared" si="19"/>
        <v/>
      </c>
      <c r="DP7" s="37">
        <f t="shared" si="20"/>
        <v>0</v>
      </c>
      <c r="DQ7" s="37">
        <f t="shared" si="21"/>
        <v>0</v>
      </c>
      <c r="DR7" s="37"/>
      <c r="DS7" s="37"/>
      <c r="DT7" s="37"/>
      <c r="DU7" s="37">
        <f>DU6+DM7</f>
        <v>0.78144000000000013</v>
      </c>
      <c r="DV7" s="37"/>
      <c r="DW7" s="37"/>
      <c r="DX7" s="37"/>
      <c r="DY7" s="37"/>
      <c r="DZ7" s="37"/>
      <c r="EA7" s="37">
        <f>EA6+O7</f>
        <v>1.1100000000000001</v>
      </c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>
        <f>EL6+N7</f>
        <v>0</v>
      </c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</row>
    <row r="8" spans="1:153" x14ac:dyDescent="0.25">
      <c r="A8" s="28">
        <v>41257</v>
      </c>
      <c r="B8" s="28">
        <v>41263</v>
      </c>
      <c r="C8" s="21" t="s">
        <v>25</v>
      </c>
      <c r="D8" s="2">
        <v>4</v>
      </c>
      <c r="E8" s="21" t="s">
        <v>26</v>
      </c>
      <c r="F8" s="21" t="s">
        <v>27</v>
      </c>
      <c r="G8" s="21" t="s">
        <v>28</v>
      </c>
      <c r="H8" s="21"/>
      <c r="I8" s="21"/>
      <c r="J8">
        <v>16.8</v>
      </c>
      <c r="K8">
        <f t="shared" ref="K8:K31" si="31">J8+K7</f>
        <v>32.400000000000006</v>
      </c>
      <c r="L8" s="29">
        <v>22.579999999999899</v>
      </c>
      <c r="M8" s="2">
        <f>M7+L8</f>
        <v>36.3599999999998</v>
      </c>
      <c r="N8" s="29">
        <v>0.41999999999999899</v>
      </c>
      <c r="O8" s="29">
        <v>362.58999999999901</v>
      </c>
      <c r="P8" s="2"/>
      <c r="Q8" s="2">
        <f t="shared" si="22"/>
        <v>363.69999999999902</v>
      </c>
      <c r="R8" s="30" t="str">
        <f t="shared" si="0"/>
        <v/>
      </c>
      <c r="S8" s="2"/>
      <c r="T8" s="2"/>
      <c r="U8" s="29">
        <v>16</v>
      </c>
      <c r="V8" s="29">
        <v>0.33</v>
      </c>
      <c r="W8" s="29">
        <v>1.61</v>
      </c>
      <c r="X8" s="29">
        <v>4.8899999999999997</v>
      </c>
      <c r="Y8" s="29">
        <v>4.9000000000000004</v>
      </c>
      <c r="Z8" s="2"/>
      <c r="AA8" s="2">
        <v>15.2</v>
      </c>
      <c r="AB8" s="2">
        <f t="shared" ref="AB8:AB27" si="32">AB7+AA8</f>
        <v>19.8</v>
      </c>
      <c r="AC8" s="2"/>
      <c r="AD8" s="2">
        <v>200</v>
      </c>
      <c r="AE8" s="2">
        <v>200</v>
      </c>
      <c r="AF8" s="2">
        <v>0</v>
      </c>
      <c r="AG8" s="2">
        <v>7.0000000000000009</v>
      </c>
      <c r="AH8" s="2"/>
      <c r="AI8" s="2"/>
      <c r="AJ8" s="2"/>
      <c r="AK8" s="2">
        <v>0.2</v>
      </c>
      <c r="AL8" s="2"/>
      <c r="AM8" s="31">
        <v>24.199999999999996</v>
      </c>
      <c r="AN8" s="32">
        <v>0</v>
      </c>
      <c r="AO8" s="29"/>
      <c r="AP8" s="33"/>
      <c r="AQ8" s="33"/>
      <c r="AR8" s="33"/>
      <c r="AS8" s="2"/>
      <c r="AT8" s="2"/>
      <c r="AU8" s="2"/>
      <c r="AV8" s="2"/>
      <c r="AW8" s="2"/>
      <c r="AX8" s="2"/>
      <c r="AY8" s="2"/>
      <c r="AZ8" s="2">
        <v>0.2</v>
      </c>
      <c r="BA8" s="2"/>
      <c r="BB8" s="2"/>
      <c r="BC8" s="2"/>
      <c r="BD8" s="1"/>
      <c r="BE8" s="2"/>
      <c r="BF8" s="2"/>
      <c r="BG8" s="34">
        <v>0</v>
      </c>
      <c r="BH8" s="2"/>
      <c r="BI8" s="33"/>
      <c r="BJ8" s="36">
        <v>26.338807682730049</v>
      </c>
      <c r="BK8" s="46">
        <f>BJ8</f>
        <v>26.338807682730049</v>
      </c>
      <c r="BL8" s="2"/>
      <c r="BM8" s="2"/>
      <c r="BN8" s="1">
        <v>19.8</v>
      </c>
      <c r="BO8" s="1">
        <f t="shared" ref="BO8:BO23" si="33">BN8+BO7</f>
        <v>40.599999999999994</v>
      </c>
      <c r="BP8" s="1">
        <v>0.08</v>
      </c>
      <c r="BQ8" s="2">
        <v>8</v>
      </c>
      <c r="BR8" s="2"/>
      <c r="BS8" s="2"/>
      <c r="BT8" s="2"/>
      <c r="BU8" s="2"/>
      <c r="BV8" s="2"/>
      <c r="BW8" s="2"/>
      <c r="BX8" s="2"/>
      <c r="BY8" s="33"/>
      <c r="BZ8" s="2">
        <v>15.072053</v>
      </c>
      <c r="CA8" s="2"/>
      <c r="CB8" s="2"/>
      <c r="CC8" s="2"/>
      <c r="CD8" s="2"/>
      <c r="CE8" s="2"/>
      <c r="CF8" s="2"/>
      <c r="CG8" s="2"/>
      <c r="CH8" s="33" t="e">
        <f t="shared" ref="CH8" si="34">#REF!</f>
        <v>#REF!</v>
      </c>
      <c r="CI8" s="33" t="e">
        <f t="shared" ref="CI8" si="35">#REF!</f>
        <v>#REF!</v>
      </c>
      <c r="CJ8" s="33" t="e">
        <f t="shared" ref="CJ8" si="36">#REF!</f>
        <v>#REF!</v>
      </c>
      <c r="CK8" s="33" t="e">
        <f t="shared" ref="CK8" si="37">#REF!</f>
        <v>#REF!</v>
      </c>
      <c r="CL8" s="33" t="e">
        <f t="shared" ref="CL8" si="38">#REF!</f>
        <v>#REF!</v>
      </c>
      <c r="CM8" s="33" t="e">
        <f t="shared" ref="CM8" si="39">#REF!</f>
        <v>#REF!</v>
      </c>
      <c r="CN8" s="33" t="e">
        <f t="shared" ref="CN8" si="40">#REF!</f>
        <v>#REF!</v>
      </c>
      <c r="CO8" s="2"/>
      <c r="CP8" s="35"/>
      <c r="CQ8" s="35"/>
      <c r="CR8" s="2"/>
      <c r="CS8" s="2"/>
      <c r="CT8" s="2">
        <f t="shared" si="8"/>
        <v>22.579999999999899</v>
      </c>
      <c r="CU8" s="2">
        <f t="shared" si="9"/>
        <v>19.8</v>
      </c>
      <c r="CV8" s="2">
        <f t="shared" si="10"/>
        <v>15.2</v>
      </c>
      <c r="CW8" s="2">
        <f t="shared" si="11"/>
        <v>26.338807682730049</v>
      </c>
      <c r="CX8" s="2">
        <f t="shared" si="12"/>
        <v>0</v>
      </c>
      <c r="CY8" s="2">
        <f t="shared" si="13"/>
        <v>15.072053</v>
      </c>
      <c r="CZ8" s="37">
        <f t="shared" ref="CZ8:DE8" si="41">CT8</f>
        <v>22.579999999999899</v>
      </c>
      <c r="DA8" s="37">
        <f t="shared" si="41"/>
        <v>19.8</v>
      </c>
      <c r="DB8" s="37">
        <f t="shared" si="41"/>
        <v>15.2</v>
      </c>
      <c r="DC8" s="37">
        <f t="shared" si="41"/>
        <v>26.338807682730049</v>
      </c>
      <c r="DD8" s="37"/>
      <c r="DE8" s="37">
        <f t="shared" si="41"/>
        <v>15.072053</v>
      </c>
      <c r="DF8" s="2">
        <f>BI8</f>
        <v>0</v>
      </c>
      <c r="DG8" s="2"/>
      <c r="DH8" s="2"/>
      <c r="DI8" s="2">
        <f t="shared" si="14"/>
        <v>16</v>
      </c>
      <c r="DJ8" s="2">
        <f t="shared" si="15"/>
        <v>362.58999999999901</v>
      </c>
      <c r="DK8" s="2">
        <f t="shared" si="16"/>
        <v>308.20149999999916</v>
      </c>
      <c r="DL8" s="2">
        <f t="shared" si="17"/>
        <v>464.11519999999877</v>
      </c>
      <c r="DM8" s="1">
        <f t="shared" si="30"/>
        <v>292.39257599999922</v>
      </c>
      <c r="DN8" s="2" t="str">
        <f t="shared" si="18"/>
        <v/>
      </c>
      <c r="DO8" s="2" t="str">
        <f t="shared" si="19"/>
        <v/>
      </c>
      <c r="DP8" s="2">
        <f t="shared" si="20"/>
        <v>200</v>
      </c>
      <c r="DQ8" s="2">
        <f t="shared" si="21"/>
        <v>7.0000000000000009</v>
      </c>
      <c r="DR8" s="2"/>
      <c r="DS8" s="2"/>
      <c r="DT8" s="2"/>
      <c r="DU8" s="2">
        <f t="shared" ref="DU8:DU31" si="42">DU7+DM8</f>
        <v>293.1740159999992</v>
      </c>
      <c r="DV8" s="2"/>
      <c r="DW8" s="2"/>
      <c r="DX8" s="2"/>
      <c r="DY8" s="2"/>
      <c r="DZ8" s="2"/>
      <c r="EA8" s="2">
        <f t="shared" ref="EA8:EA31" si="43">EA7+O8</f>
        <v>363.69999999999902</v>
      </c>
      <c r="EB8" s="2"/>
      <c r="EC8" s="2"/>
      <c r="ED8" s="2"/>
      <c r="EE8" s="2"/>
      <c r="EF8" s="2"/>
      <c r="EG8" s="2"/>
      <c r="EH8" s="2"/>
      <c r="EI8" s="2"/>
      <c r="EJ8" s="2">
        <v>22.81</v>
      </c>
      <c r="EK8" s="2"/>
      <c r="EL8" s="2">
        <f t="shared" ref="EL8:EL31" si="44">EL7+N8</f>
        <v>0.41999999999999899</v>
      </c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</row>
    <row r="9" spans="1:153" x14ac:dyDescent="0.25">
      <c r="A9" s="28">
        <v>41264</v>
      </c>
      <c r="B9" s="28">
        <v>41270</v>
      </c>
      <c r="C9" s="21" t="s">
        <v>25</v>
      </c>
      <c r="D9" s="2">
        <v>4</v>
      </c>
      <c r="E9" s="21" t="s">
        <v>26</v>
      </c>
      <c r="F9" s="21" t="s">
        <v>27</v>
      </c>
      <c r="G9" s="21" t="s">
        <v>28</v>
      </c>
      <c r="H9" s="21"/>
      <c r="I9" s="21"/>
      <c r="J9">
        <v>28.700000000000003</v>
      </c>
      <c r="K9">
        <f t="shared" si="31"/>
        <v>61.100000000000009</v>
      </c>
      <c r="L9" s="29">
        <v>21.739999999999899</v>
      </c>
      <c r="M9" s="2">
        <f>M8+L9</f>
        <v>58.099999999999696</v>
      </c>
      <c r="N9" s="29">
        <v>0.29999999999999899</v>
      </c>
      <c r="O9" s="29">
        <v>330.04</v>
      </c>
      <c r="P9" s="2"/>
      <c r="Q9" s="2">
        <f t="shared" si="22"/>
        <v>693.7399999999991</v>
      </c>
      <c r="R9" s="30" t="str">
        <f t="shared" si="0"/>
        <v/>
      </c>
      <c r="S9" s="2"/>
      <c r="T9" s="2"/>
      <c r="U9" s="29">
        <v>16</v>
      </c>
      <c r="V9" s="29">
        <v>0.33</v>
      </c>
      <c r="W9" s="29">
        <v>1.52</v>
      </c>
      <c r="X9" s="29"/>
      <c r="Y9" s="29"/>
      <c r="Z9" s="2"/>
      <c r="AA9" s="2">
        <v>11.499999999999998</v>
      </c>
      <c r="AB9" s="2">
        <f t="shared" si="32"/>
        <v>31.299999999999997</v>
      </c>
      <c r="AC9" s="2"/>
      <c r="AD9" s="2">
        <v>200</v>
      </c>
      <c r="AE9" s="2">
        <v>400</v>
      </c>
      <c r="AF9" s="2">
        <v>0</v>
      </c>
      <c r="AG9" s="2">
        <v>18</v>
      </c>
      <c r="AH9" s="2"/>
      <c r="AI9" s="2"/>
      <c r="AJ9" s="2"/>
      <c r="AK9" s="2">
        <v>0.4</v>
      </c>
      <c r="AL9" s="2"/>
      <c r="AM9" s="31">
        <v>9</v>
      </c>
      <c r="AN9" s="32">
        <v>0</v>
      </c>
      <c r="AO9" s="29"/>
      <c r="AP9" s="33">
        <v>109.88181756000002</v>
      </c>
      <c r="AQ9" s="33">
        <v>8.9955754399999837</v>
      </c>
      <c r="AR9" s="33">
        <v>8.9955754399999837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1"/>
      <c r="BE9" s="2"/>
      <c r="BF9" s="2"/>
      <c r="BG9" s="34">
        <v>0</v>
      </c>
      <c r="BH9" s="2"/>
      <c r="BI9" s="33">
        <f t="shared" ref="BI9:BI24" si="45">AQ9</f>
        <v>8.9955754399999837</v>
      </c>
      <c r="BJ9" s="36">
        <v>21.654933825297444</v>
      </c>
      <c r="BK9" s="46">
        <f>BJ9+BK8</f>
        <v>47.993741508027497</v>
      </c>
      <c r="BL9" s="2"/>
      <c r="BM9" s="38"/>
      <c r="BN9" s="1">
        <v>19.3</v>
      </c>
      <c r="BO9" s="1">
        <f t="shared" si="33"/>
        <v>59.899999999999991</v>
      </c>
      <c r="BP9" s="1">
        <v>0.16</v>
      </c>
      <c r="BQ9" s="2">
        <v>16</v>
      </c>
      <c r="BR9" s="2"/>
      <c r="BS9" s="2"/>
      <c r="BT9" s="2" t="s">
        <v>29</v>
      </c>
      <c r="BU9" s="2">
        <v>109.88181756000002</v>
      </c>
      <c r="BV9" s="2">
        <v>108.24</v>
      </c>
      <c r="BW9" s="2">
        <v>54.12</v>
      </c>
      <c r="BX9" s="2">
        <v>1200</v>
      </c>
      <c r="BY9" s="33">
        <v>1.6418175600000211</v>
      </c>
      <c r="BZ9" s="39">
        <v>24.100075</v>
      </c>
      <c r="CA9" s="2">
        <v>20</v>
      </c>
      <c r="CB9" s="2">
        <v>10</v>
      </c>
      <c r="CC9" s="2"/>
      <c r="CD9" s="2"/>
      <c r="CE9" s="2"/>
      <c r="CF9" s="2"/>
      <c r="CG9" s="2"/>
      <c r="CH9" s="33" t="e">
        <f t="shared" ref="CH9" si="46">#REF!</f>
        <v>#REF!</v>
      </c>
      <c r="CI9" s="33" t="e">
        <f t="shared" ref="CI9" si="47">#REF!</f>
        <v>#REF!</v>
      </c>
      <c r="CJ9" s="33" t="e">
        <f t="shared" ref="CJ9" si="48">#REF!</f>
        <v>#REF!</v>
      </c>
      <c r="CK9" s="33" t="e">
        <f t="shared" ref="CK9" si="49">#REF!</f>
        <v>#REF!</v>
      </c>
      <c r="CL9" s="33" t="e">
        <f t="shared" ref="CL9" si="50">#REF!</f>
        <v>#REF!</v>
      </c>
      <c r="CM9" s="33" t="e">
        <f t="shared" ref="CM9" si="51">#REF!</f>
        <v>#REF!</v>
      </c>
      <c r="CN9" s="33" t="e">
        <f t="shared" ref="CN9" si="52">#REF!</f>
        <v>#REF!</v>
      </c>
      <c r="CO9" s="2"/>
      <c r="CP9" s="35"/>
      <c r="CQ9" s="35"/>
      <c r="CR9" s="2"/>
      <c r="CS9" s="2"/>
      <c r="CT9" s="2">
        <f t="shared" si="8"/>
        <v>21.739999999999899</v>
      </c>
      <c r="CU9" s="2">
        <f t="shared" si="9"/>
        <v>19.3</v>
      </c>
      <c r="CV9" s="2">
        <f t="shared" si="10"/>
        <v>11.499999999999998</v>
      </c>
      <c r="CW9" s="2">
        <f t="shared" si="11"/>
        <v>21.654933825297444</v>
      </c>
      <c r="CX9" s="2">
        <f t="shared" si="12"/>
        <v>20</v>
      </c>
      <c r="CY9" s="2">
        <f t="shared" si="13"/>
        <v>24.100075</v>
      </c>
      <c r="CZ9" s="37">
        <f t="shared" ref="CZ9:DC24" si="53">CZ8+CT9</f>
        <v>44.319999999999794</v>
      </c>
      <c r="DA9" s="37">
        <f t="shared" si="53"/>
        <v>39.1</v>
      </c>
      <c r="DB9" s="37">
        <f t="shared" si="53"/>
        <v>26.699999999999996</v>
      </c>
      <c r="DC9" s="37">
        <f t="shared" si="53"/>
        <v>47.993741508027497</v>
      </c>
      <c r="DD9" s="37"/>
      <c r="DE9" s="37">
        <f t="shared" ref="DE9:DE28" si="54">DE8+CY9</f>
        <v>39.172128000000001</v>
      </c>
      <c r="DF9" s="33">
        <f>DF8+BI9</f>
        <v>8.9955754399999837</v>
      </c>
      <c r="DG9" s="2"/>
      <c r="DH9" s="2"/>
      <c r="DI9" s="2">
        <f t="shared" si="14"/>
        <v>16</v>
      </c>
      <c r="DJ9" s="2">
        <f t="shared" si="15"/>
        <v>330.04</v>
      </c>
      <c r="DK9" s="2">
        <f t="shared" si="16"/>
        <v>280.53399999999999</v>
      </c>
      <c r="DL9" s="2">
        <f t="shared" si="17"/>
        <v>422.45120000000003</v>
      </c>
      <c r="DM9" s="1">
        <f t="shared" si="30"/>
        <v>266.14425600000004</v>
      </c>
      <c r="DN9" s="2" t="str">
        <f t="shared" si="18"/>
        <v/>
      </c>
      <c r="DO9" s="2" t="str">
        <f t="shared" si="19"/>
        <v/>
      </c>
      <c r="DP9" s="2">
        <f t="shared" si="20"/>
        <v>200</v>
      </c>
      <c r="DQ9" s="2">
        <f t="shared" si="21"/>
        <v>18</v>
      </c>
      <c r="DR9" s="2"/>
      <c r="DS9" s="2"/>
      <c r="DT9" s="2"/>
      <c r="DU9" s="2">
        <f t="shared" si="42"/>
        <v>559.3182719999993</v>
      </c>
      <c r="DV9" s="2"/>
      <c r="DW9" s="2"/>
      <c r="DX9" s="2"/>
      <c r="DY9" s="2"/>
      <c r="DZ9" s="2"/>
      <c r="EA9" s="2">
        <f t="shared" si="43"/>
        <v>693.7399999999991</v>
      </c>
      <c r="EB9" s="2"/>
      <c r="EC9" s="2"/>
      <c r="ED9" s="2"/>
      <c r="EE9" s="2"/>
      <c r="EF9" s="2"/>
      <c r="EG9" s="2"/>
      <c r="EH9" s="2"/>
      <c r="EI9" s="2"/>
      <c r="EJ9" s="2">
        <v>35.35</v>
      </c>
      <c r="EK9" s="2"/>
      <c r="EL9" s="2">
        <f t="shared" si="44"/>
        <v>0.71999999999999797</v>
      </c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</row>
    <row r="10" spans="1:153" x14ac:dyDescent="0.25">
      <c r="A10" s="28">
        <v>41271</v>
      </c>
      <c r="B10" s="28">
        <v>41277</v>
      </c>
      <c r="C10" s="21" t="s">
        <v>25</v>
      </c>
      <c r="D10" s="2">
        <v>4</v>
      </c>
      <c r="E10" s="21" t="s">
        <v>26</v>
      </c>
      <c r="F10" s="21" t="s">
        <v>27</v>
      </c>
      <c r="G10" s="21" t="s">
        <v>28</v>
      </c>
      <c r="H10" s="21"/>
      <c r="I10" s="21"/>
      <c r="J10">
        <v>34.099999999999994</v>
      </c>
      <c r="K10">
        <f t="shared" si="31"/>
        <v>95.2</v>
      </c>
      <c r="L10" s="29">
        <v>45.009999999999899</v>
      </c>
      <c r="M10" s="2">
        <f t="shared" ref="M10:M31" si="55">M9+L10</f>
        <v>103.10999999999959</v>
      </c>
      <c r="N10" s="29">
        <v>9.4199999999999893</v>
      </c>
      <c r="O10" s="29">
        <v>1163.1300000000001</v>
      </c>
      <c r="P10" s="2"/>
      <c r="Q10" s="2">
        <f t="shared" si="22"/>
        <v>1856.8699999999992</v>
      </c>
      <c r="R10" s="30" t="str">
        <f t="shared" si="0"/>
        <v/>
      </c>
      <c r="S10" s="2"/>
      <c r="T10" s="2"/>
      <c r="U10" s="29">
        <v>56.000000000000007</v>
      </c>
      <c r="V10" s="29">
        <v>1.78</v>
      </c>
      <c r="W10" s="29">
        <v>2.58</v>
      </c>
      <c r="X10" s="29">
        <v>11.82</v>
      </c>
      <c r="Y10" s="29">
        <v>16.25</v>
      </c>
      <c r="Z10" s="2"/>
      <c r="AA10" s="2">
        <v>25.4</v>
      </c>
      <c r="AB10" s="2">
        <f t="shared" si="32"/>
        <v>56.699999999999996</v>
      </c>
      <c r="AC10" s="2"/>
      <c r="AD10" s="2">
        <v>700</v>
      </c>
      <c r="AE10" s="2">
        <v>1100</v>
      </c>
      <c r="AF10" s="2">
        <v>0</v>
      </c>
      <c r="AG10" s="2">
        <v>36</v>
      </c>
      <c r="AH10" s="2"/>
      <c r="AI10" s="2"/>
      <c r="AJ10" s="2"/>
      <c r="AK10" s="2">
        <v>0.9</v>
      </c>
      <c r="AL10" s="2"/>
      <c r="AM10" s="31">
        <v>2.4</v>
      </c>
      <c r="AN10" s="32">
        <v>24.527422000000001</v>
      </c>
      <c r="AO10" s="29"/>
      <c r="AP10" s="33">
        <v>106.07889550500002</v>
      </c>
      <c r="AQ10" s="33">
        <v>30.730344054999996</v>
      </c>
      <c r="AR10" s="33">
        <v>39.725919494999978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1"/>
      <c r="BE10" s="2"/>
      <c r="BF10" s="2"/>
      <c r="BG10" s="34">
        <v>0</v>
      </c>
      <c r="BH10" s="2"/>
      <c r="BI10" s="33">
        <f t="shared" si="45"/>
        <v>30.730344054999996</v>
      </c>
      <c r="BJ10" s="36">
        <v>33.179294420570344</v>
      </c>
      <c r="BK10" s="46">
        <f t="shared" ref="BK10:BK31" si="56">BJ10+BK9</f>
        <v>81.173035928597841</v>
      </c>
      <c r="BL10" s="2"/>
      <c r="BM10" s="38"/>
      <c r="BN10" s="1">
        <v>29.800000000000004</v>
      </c>
      <c r="BO10" s="1">
        <f t="shared" si="33"/>
        <v>89.699999999999989</v>
      </c>
      <c r="BP10" s="1">
        <v>0.39</v>
      </c>
      <c r="BQ10" s="2">
        <v>39</v>
      </c>
      <c r="BR10" s="2"/>
      <c r="BS10" s="2"/>
      <c r="BT10" s="2" t="s">
        <v>30</v>
      </c>
      <c r="BU10" s="2">
        <v>106.07889550500002</v>
      </c>
      <c r="BV10" s="2">
        <v>108.24</v>
      </c>
      <c r="BW10" s="2">
        <v>54.12</v>
      </c>
      <c r="BX10" s="2">
        <v>1200</v>
      </c>
      <c r="BY10" s="33">
        <v>-2.1611044949999751</v>
      </c>
      <c r="BZ10" s="39">
        <v>32.482414999999996</v>
      </c>
      <c r="CA10" s="2">
        <v>35</v>
      </c>
      <c r="CB10" s="2">
        <v>36</v>
      </c>
      <c r="CC10" s="2"/>
      <c r="CD10" s="2"/>
      <c r="CE10" s="33">
        <f>BY10-BY9</f>
        <v>-3.8029220549999962</v>
      </c>
      <c r="CF10" s="2"/>
      <c r="CG10" s="2"/>
      <c r="CH10" s="33" t="e">
        <f t="shared" ref="CH10" si="57">#REF!</f>
        <v>#REF!</v>
      </c>
      <c r="CI10" s="33" t="e">
        <f t="shared" ref="CI10" si="58">#REF!</f>
        <v>#REF!</v>
      </c>
      <c r="CJ10" s="33" t="e">
        <f t="shared" ref="CJ10" si="59">#REF!</f>
        <v>#REF!</v>
      </c>
      <c r="CK10" s="33" t="e">
        <f t="shared" ref="CK10" si="60">#REF!</f>
        <v>#REF!</v>
      </c>
      <c r="CL10" s="33" t="e">
        <f t="shared" ref="CL10" si="61">#REF!</f>
        <v>#REF!</v>
      </c>
      <c r="CM10" s="33" t="e">
        <f t="shared" ref="CM10" si="62">#REF!</f>
        <v>#REF!</v>
      </c>
      <c r="CN10" s="33" t="e">
        <f t="shared" ref="CN10" si="63">#REF!</f>
        <v>#REF!</v>
      </c>
      <c r="CO10" s="2"/>
      <c r="CP10" s="35"/>
      <c r="CQ10" s="35"/>
      <c r="CR10" s="2"/>
      <c r="CS10" s="2"/>
      <c r="CT10" s="2">
        <f t="shared" si="8"/>
        <v>45.009999999999899</v>
      </c>
      <c r="CU10" s="2">
        <f t="shared" si="9"/>
        <v>29.800000000000004</v>
      </c>
      <c r="CV10" s="2">
        <f t="shared" si="10"/>
        <v>25.4</v>
      </c>
      <c r="CW10" s="2">
        <f t="shared" si="11"/>
        <v>33.179294420570344</v>
      </c>
      <c r="CX10" s="2">
        <f t="shared" si="12"/>
        <v>35</v>
      </c>
      <c r="CY10" s="2">
        <f t="shared" si="13"/>
        <v>32.482414999999996</v>
      </c>
      <c r="CZ10" s="37">
        <f t="shared" si="53"/>
        <v>89.3299999999997</v>
      </c>
      <c r="DA10" s="37">
        <f t="shared" si="53"/>
        <v>68.900000000000006</v>
      </c>
      <c r="DB10" s="37">
        <f t="shared" si="53"/>
        <v>52.099999999999994</v>
      </c>
      <c r="DC10" s="37">
        <f t="shared" si="53"/>
        <v>81.173035928597841</v>
      </c>
      <c r="DD10" s="37"/>
      <c r="DE10" s="37">
        <f t="shared" si="54"/>
        <v>71.65454299999999</v>
      </c>
      <c r="DF10" s="33">
        <f t="shared" ref="DF10:DF28" si="64">DF9+BI10</f>
        <v>39.725919494999978</v>
      </c>
      <c r="DG10" s="2"/>
      <c r="DH10" s="2"/>
      <c r="DI10" s="2">
        <f t="shared" si="14"/>
        <v>56.000000000000007</v>
      </c>
      <c r="DJ10" s="2">
        <f t="shared" si="15"/>
        <v>1163.1300000000001</v>
      </c>
      <c r="DK10" s="2">
        <f t="shared" si="16"/>
        <v>988.66050000000007</v>
      </c>
      <c r="DL10" s="2">
        <f t="shared" si="17"/>
        <v>1488.8064000000002</v>
      </c>
      <c r="DM10" s="1">
        <f t="shared" si="30"/>
        <v>1235.7093120000002</v>
      </c>
      <c r="DN10" s="2" t="str">
        <f t="shared" si="18"/>
        <v/>
      </c>
      <c r="DO10" s="2" t="str">
        <f t="shared" si="19"/>
        <v/>
      </c>
      <c r="DP10" s="2">
        <f t="shared" si="20"/>
        <v>700</v>
      </c>
      <c r="DQ10" s="2">
        <f t="shared" si="21"/>
        <v>36</v>
      </c>
      <c r="DR10" s="2"/>
      <c r="DS10" s="2"/>
      <c r="DT10" s="2"/>
      <c r="DU10" s="2">
        <f t="shared" si="42"/>
        <v>1795.0275839999995</v>
      </c>
      <c r="DV10" s="2"/>
      <c r="DW10" s="2"/>
      <c r="DX10" s="2"/>
      <c r="DY10" s="2"/>
      <c r="DZ10" s="2"/>
      <c r="EA10" s="2">
        <f t="shared" si="43"/>
        <v>1856.8699999999992</v>
      </c>
      <c r="EB10" s="2"/>
      <c r="EC10" s="2"/>
      <c r="ED10" s="2"/>
      <c r="EE10" s="2"/>
      <c r="EF10" s="2"/>
      <c r="EG10" s="2"/>
      <c r="EH10" s="2"/>
      <c r="EI10" s="2"/>
      <c r="EJ10" s="2">
        <v>44.96</v>
      </c>
      <c r="EK10" s="2"/>
      <c r="EL10" s="2">
        <f t="shared" si="44"/>
        <v>10.139999999999986</v>
      </c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</row>
    <row r="11" spans="1:153" x14ac:dyDescent="0.25">
      <c r="A11" s="28">
        <v>41278</v>
      </c>
      <c r="B11" s="28">
        <v>41284</v>
      </c>
      <c r="C11" s="21" t="s">
        <v>25</v>
      </c>
      <c r="D11" s="2">
        <v>4</v>
      </c>
      <c r="E11" s="21" t="s">
        <v>26</v>
      </c>
      <c r="F11" s="21" t="s">
        <v>27</v>
      </c>
      <c r="G11" s="21" t="s">
        <v>28</v>
      </c>
      <c r="H11" s="21"/>
      <c r="I11" s="21"/>
      <c r="J11">
        <v>41.3</v>
      </c>
      <c r="K11">
        <f t="shared" si="31"/>
        <v>136.5</v>
      </c>
      <c r="L11" s="29">
        <v>51.81</v>
      </c>
      <c r="M11" s="2">
        <f t="shared" si="55"/>
        <v>154.91999999999959</v>
      </c>
      <c r="N11" s="29">
        <v>14.71</v>
      </c>
      <c r="O11" s="29">
        <v>1455.0999999999899</v>
      </c>
      <c r="P11" s="2"/>
      <c r="Q11" s="2">
        <f t="shared" si="22"/>
        <v>3311.9699999999893</v>
      </c>
      <c r="R11" s="30" t="e">
        <f t="shared" si="0"/>
        <v>#VALUE!</v>
      </c>
      <c r="S11" s="2"/>
      <c r="T11" s="2"/>
      <c r="U11" s="29">
        <v>69.999999999999901</v>
      </c>
      <c r="V11" s="29">
        <v>2.68</v>
      </c>
      <c r="W11" s="29">
        <v>2.81</v>
      </c>
      <c r="X11" s="29">
        <v>12.17</v>
      </c>
      <c r="Y11" s="29">
        <v>21.01</v>
      </c>
      <c r="Z11" s="2"/>
      <c r="AA11" s="2">
        <v>32.900000000000006</v>
      </c>
      <c r="AB11" s="2">
        <f t="shared" si="32"/>
        <v>89.6</v>
      </c>
      <c r="AC11" s="2"/>
      <c r="AD11" s="2">
        <v>1100</v>
      </c>
      <c r="AE11" s="2">
        <v>2200</v>
      </c>
      <c r="AF11" s="2">
        <v>0</v>
      </c>
      <c r="AG11" s="2">
        <v>60</v>
      </c>
      <c r="AH11" s="2"/>
      <c r="AI11" s="2"/>
      <c r="AJ11" s="30"/>
      <c r="AK11" s="30">
        <v>1.8</v>
      </c>
      <c r="AL11" s="30"/>
      <c r="AM11" s="31">
        <v>0.2</v>
      </c>
      <c r="AN11" s="32">
        <v>27.174624000000005</v>
      </c>
      <c r="AO11" s="29"/>
      <c r="AP11" s="33">
        <v>94.247582445000006</v>
      </c>
      <c r="AQ11" s="33">
        <v>39.205937060000018</v>
      </c>
      <c r="AR11" s="33">
        <v>78.931856554999996</v>
      </c>
      <c r="AS11" s="2"/>
      <c r="AT11" s="40"/>
      <c r="AU11" s="29">
        <v>3.01</v>
      </c>
      <c r="AV11" s="29"/>
      <c r="AW11" s="29">
        <v>0.56999999999999995</v>
      </c>
      <c r="AX11" s="29">
        <v>2.67</v>
      </c>
      <c r="AY11" s="29">
        <v>0.56999999999999995</v>
      </c>
      <c r="AZ11" s="29">
        <v>1.36</v>
      </c>
      <c r="BA11" s="2">
        <v>209.9</v>
      </c>
      <c r="BB11" s="29">
        <v>53.6</v>
      </c>
      <c r="BC11" s="2">
        <v>4.43</v>
      </c>
      <c r="BD11" s="1">
        <v>0</v>
      </c>
      <c r="BE11" s="2">
        <v>57</v>
      </c>
      <c r="BF11" s="2">
        <v>3010</v>
      </c>
      <c r="BG11" s="34">
        <v>1</v>
      </c>
      <c r="BH11" s="2">
        <v>3010</v>
      </c>
      <c r="BI11" s="33">
        <f t="shared" si="45"/>
        <v>39.205937060000018</v>
      </c>
      <c r="BJ11" s="36">
        <v>43.324474159410009</v>
      </c>
      <c r="BK11" s="46">
        <f t="shared" si="56"/>
        <v>124.49751008800786</v>
      </c>
      <c r="BL11" s="2"/>
      <c r="BM11" s="38"/>
      <c r="BN11" s="1">
        <v>38.199999999999996</v>
      </c>
      <c r="BO11" s="1">
        <f t="shared" si="33"/>
        <v>127.89999999999998</v>
      </c>
      <c r="BP11" s="1">
        <v>0.61</v>
      </c>
      <c r="BQ11" s="2">
        <v>61</v>
      </c>
      <c r="BR11" s="2"/>
      <c r="BS11" s="2"/>
      <c r="BT11" s="2" t="s">
        <v>31</v>
      </c>
      <c r="BU11" s="2">
        <v>94.247582445000006</v>
      </c>
      <c r="BV11" s="2">
        <v>108.24</v>
      </c>
      <c r="BW11" s="2">
        <v>54.12</v>
      </c>
      <c r="BX11" s="2">
        <v>1200</v>
      </c>
      <c r="BY11" s="33">
        <v>-13.992417554999989</v>
      </c>
      <c r="BZ11" s="39">
        <v>40.849838999999996</v>
      </c>
      <c r="CA11" s="2">
        <v>55</v>
      </c>
      <c r="CB11" s="2">
        <v>50</v>
      </c>
      <c r="CC11" s="2"/>
      <c r="CD11" s="2"/>
      <c r="CE11" s="33">
        <f t="shared" ref="CE11:CE23" si="65">BY11-BY10</f>
        <v>-11.831313060000014</v>
      </c>
      <c r="CF11" s="2"/>
      <c r="CG11" s="2"/>
      <c r="CH11" s="33" t="e">
        <f t="shared" ref="CH11" si="66">#REF!</f>
        <v>#REF!</v>
      </c>
      <c r="CI11" s="33" t="e">
        <f t="shared" ref="CI11" si="67">#REF!</f>
        <v>#REF!</v>
      </c>
      <c r="CJ11" s="33" t="e">
        <f t="shared" ref="CJ11" si="68">#REF!</f>
        <v>#REF!</v>
      </c>
      <c r="CK11" s="33" t="e">
        <f t="shared" ref="CK11" si="69">#REF!</f>
        <v>#REF!</v>
      </c>
      <c r="CL11" s="33" t="e">
        <f t="shared" ref="CL11" si="70">#REF!</f>
        <v>#REF!</v>
      </c>
      <c r="CM11" s="33" t="e">
        <f t="shared" ref="CM11" si="71">#REF!</f>
        <v>#REF!</v>
      </c>
      <c r="CN11" s="33" t="e">
        <f t="shared" ref="CN11" si="72">#REF!</f>
        <v>#REF!</v>
      </c>
      <c r="CO11" s="2"/>
      <c r="CP11" s="35"/>
      <c r="CQ11" s="35"/>
      <c r="CR11" s="2"/>
      <c r="CS11" s="2"/>
      <c r="CT11" s="2">
        <f t="shared" si="8"/>
        <v>51.81</v>
      </c>
      <c r="CU11" s="2">
        <f t="shared" si="9"/>
        <v>38.199999999999996</v>
      </c>
      <c r="CV11" s="2">
        <f t="shared" si="10"/>
        <v>32.900000000000006</v>
      </c>
      <c r="CW11" s="2">
        <f t="shared" si="11"/>
        <v>43.324474159410009</v>
      </c>
      <c r="CX11" s="2">
        <f t="shared" si="12"/>
        <v>55</v>
      </c>
      <c r="CY11" s="2">
        <f t="shared" si="13"/>
        <v>40.849838999999996</v>
      </c>
      <c r="CZ11" s="37">
        <f t="shared" si="53"/>
        <v>141.1399999999997</v>
      </c>
      <c r="DA11" s="37">
        <f t="shared" si="53"/>
        <v>107.1</v>
      </c>
      <c r="DB11" s="37">
        <f t="shared" si="53"/>
        <v>85</v>
      </c>
      <c r="DC11" s="37">
        <f t="shared" si="53"/>
        <v>124.49751008800786</v>
      </c>
      <c r="DD11" s="37"/>
      <c r="DE11" s="37">
        <f t="shared" si="54"/>
        <v>112.50438199999999</v>
      </c>
      <c r="DF11" s="33">
        <f t="shared" si="64"/>
        <v>78.931856554999996</v>
      </c>
      <c r="DG11" s="2"/>
      <c r="DH11" s="2"/>
      <c r="DI11" s="2">
        <f t="shared" si="14"/>
        <v>69.999999999999901</v>
      </c>
      <c r="DJ11" s="2">
        <f>O11</f>
        <v>1455.0999999999899</v>
      </c>
      <c r="DK11" s="2">
        <f t="shared" si="16"/>
        <v>1236.8349999999914</v>
      </c>
      <c r="DL11" s="2">
        <f t="shared" si="17"/>
        <v>1862.5279999999871</v>
      </c>
      <c r="DM11" s="1">
        <f>DL11*0.9</f>
        <v>1676.2751999999884</v>
      </c>
      <c r="DN11" s="2">
        <f t="shared" si="18"/>
        <v>3010</v>
      </c>
      <c r="DO11" s="2">
        <f t="shared" si="19"/>
        <v>57</v>
      </c>
      <c r="DP11" s="2">
        <f t="shared" si="20"/>
        <v>1100</v>
      </c>
      <c r="DQ11" s="2">
        <f t="shared" si="21"/>
        <v>60</v>
      </c>
      <c r="DR11" s="2"/>
      <c r="DS11" s="2"/>
      <c r="DT11" s="2"/>
      <c r="DU11" s="41">
        <f t="shared" si="42"/>
        <v>3471.3027839999877</v>
      </c>
      <c r="DV11" s="2"/>
      <c r="DW11" s="2"/>
      <c r="DX11" s="2"/>
      <c r="DY11" s="2"/>
      <c r="DZ11" s="2"/>
      <c r="EA11" s="41">
        <f t="shared" si="43"/>
        <v>3311.9699999999893</v>
      </c>
      <c r="EB11" s="2"/>
      <c r="EC11" s="2"/>
      <c r="ED11" s="2"/>
      <c r="EE11" s="2"/>
      <c r="EF11" s="2"/>
      <c r="EG11" s="2"/>
      <c r="EH11" s="2"/>
      <c r="EI11" s="2"/>
      <c r="EJ11" s="2">
        <v>51.9</v>
      </c>
      <c r="EK11" s="2"/>
      <c r="EL11" s="2">
        <f t="shared" si="44"/>
        <v>24.849999999999987</v>
      </c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</row>
    <row r="12" spans="1:153" x14ac:dyDescent="0.25">
      <c r="A12" s="28">
        <v>41285</v>
      </c>
      <c r="B12" s="28">
        <v>41291</v>
      </c>
      <c r="C12" s="21" t="s">
        <v>25</v>
      </c>
      <c r="D12" s="2">
        <v>4</v>
      </c>
      <c r="E12" s="21" t="s">
        <v>26</v>
      </c>
      <c r="F12" s="21" t="s">
        <v>27</v>
      </c>
      <c r="G12" s="21" t="s">
        <v>28</v>
      </c>
      <c r="H12" s="21"/>
      <c r="I12" s="21"/>
      <c r="J12">
        <v>53.2</v>
      </c>
      <c r="K12">
        <f t="shared" si="31"/>
        <v>189.7</v>
      </c>
      <c r="L12" s="29">
        <v>53.2899999999999</v>
      </c>
      <c r="M12" s="2">
        <f t="shared" si="55"/>
        <v>208.2099999999995</v>
      </c>
      <c r="N12" s="29">
        <v>10.94</v>
      </c>
      <c r="O12" s="29">
        <v>1355.3599999999899</v>
      </c>
      <c r="P12" s="2"/>
      <c r="Q12" s="2">
        <f t="shared" si="22"/>
        <v>4667.329999999979</v>
      </c>
      <c r="R12" s="30" t="str">
        <f t="shared" si="0"/>
        <v/>
      </c>
      <c r="S12" s="2"/>
      <c r="T12" s="2"/>
      <c r="U12" s="29">
        <v>69.999999999999901</v>
      </c>
      <c r="V12" s="29">
        <v>2.68</v>
      </c>
      <c r="W12" s="29">
        <v>2.54</v>
      </c>
      <c r="X12" s="29"/>
      <c r="Y12" s="29"/>
      <c r="Z12" s="2"/>
      <c r="AA12" s="2">
        <v>42.6</v>
      </c>
      <c r="AB12" s="2">
        <f t="shared" si="32"/>
        <v>132.19999999999999</v>
      </c>
      <c r="AC12" s="2"/>
      <c r="AD12" s="2">
        <v>1500</v>
      </c>
      <c r="AE12" s="2">
        <v>3700</v>
      </c>
      <c r="AF12" s="2">
        <v>0</v>
      </c>
      <c r="AG12" s="2">
        <v>78</v>
      </c>
      <c r="AH12" s="2"/>
      <c r="AI12" s="2"/>
      <c r="AJ12" s="30"/>
      <c r="AK12" s="30">
        <v>2.8</v>
      </c>
      <c r="AL12" s="30"/>
      <c r="AM12" s="31">
        <v>6.2</v>
      </c>
      <c r="AN12" s="32">
        <v>30.606458</v>
      </c>
      <c r="AO12" s="29"/>
      <c r="AP12" s="33">
        <v>82.838816280000017</v>
      </c>
      <c r="AQ12" s="33">
        <v>48.215224164999988</v>
      </c>
      <c r="AR12" s="33">
        <v>127.14708071999999</v>
      </c>
      <c r="AS12" s="2"/>
      <c r="AT12" s="2"/>
      <c r="AU12" s="2"/>
      <c r="AV12" s="2"/>
      <c r="AW12" s="2"/>
      <c r="AX12" s="2"/>
      <c r="AY12" s="2"/>
      <c r="AZ12" s="2">
        <v>1.8</v>
      </c>
      <c r="BA12" s="2"/>
      <c r="BB12" s="2"/>
      <c r="BC12" s="2"/>
      <c r="BD12" s="1"/>
      <c r="BE12" s="2"/>
      <c r="BF12" s="2"/>
      <c r="BG12" s="34">
        <v>1</v>
      </c>
      <c r="BH12" s="2"/>
      <c r="BI12" s="33">
        <f t="shared" si="45"/>
        <v>48.215224164999988</v>
      </c>
      <c r="BJ12" s="36">
        <v>44.951819496438176</v>
      </c>
      <c r="BK12" s="46">
        <f t="shared" si="56"/>
        <v>169.44932958444605</v>
      </c>
      <c r="BL12" s="2"/>
      <c r="BM12" s="38"/>
      <c r="BN12" s="1">
        <v>42.800000000000004</v>
      </c>
      <c r="BO12" s="1">
        <f t="shared" si="33"/>
        <v>170.7</v>
      </c>
      <c r="BP12" s="1">
        <v>0.84</v>
      </c>
      <c r="BQ12" s="2">
        <v>84</v>
      </c>
      <c r="BR12" s="2"/>
      <c r="BS12" s="2"/>
      <c r="BT12" s="2" t="s">
        <v>32</v>
      </c>
      <c r="BU12" s="2">
        <v>82.838816280000017</v>
      </c>
      <c r="BV12" s="2">
        <v>108.24</v>
      </c>
      <c r="BW12" s="2">
        <v>54.12</v>
      </c>
      <c r="BX12" s="2">
        <v>1200</v>
      </c>
      <c r="BY12" s="33">
        <v>-25.401183719999977</v>
      </c>
      <c r="BZ12" s="39">
        <v>49.457162000000004</v>
      </c>
      <c r="CA12" s="2">
        <v>70</v>
      </c>
      <c r="CB12" s="2">
        <v>38</v>
      </c>
      <c r="CC12" s="2"/>
      <c r="CD12" s="2"/>
      <c r="CE12" s="33">
        <f t="shared" si="65"/>
        <v>-11.408766164999989</v>
      </c>
      <c r="CF12" s="2"/>
      <c r="CG12" s="2"/>
      <c r="CH12" s="33" t="e">
        <f t="shared" ref="CH12" si="73">#REF!</f>
        <v>#REF!</v>
      </c>
      <c r="CI12" s="33" t="e">
        <f t="shared" ref="CI12" si="74">#REF!</f>
        <v>#REF!</v>
      </c>
      <c r="CJ12" s="33" t="e">
        <f t="shared" ref="CJ12" si="75">#REF!</f>
        <v>#REF!</v>
      </c>
      <c r="CK12" s="33" t="e">
        <f t="shared" ref="CK12" si="76">#REF!</f>
        <v>#REF!</v>
      </c>
      <c r="CL12" s="33" t="e">
        <f t="shared" ref="CL12" si="77">#REF!</f>
        <v>#REF!</v>
      </c>
      <c r="CM12" s="33" t="e">
        <f t="shared" ref="CM12" si="78">#REF!</f>
        <v>#REF!</v>
      </c>
      <c r="CN12" s="33" t="e">
        <f t="shared" ref="CN12" si="79">#REF!</f>
        <v>#REF!</v>
      </c>
      <c r="CO12" s="2"/>
      <c r="CP12" s="35"/>
      <c r="CQ12" s="35"/>
      <c r="CR12" s="2"/>
      <c r="CS12" s="2"/>
      <c r="CT12" s="2">
        <f t="shared" si="8"/>
        <v>53.2899999999999</v>
      </c>
      <c r="CU12" s="2">
        <f t="shared" si="9"/>
        <v>42.800000000000004</v>
      </c>
      <c r="CV12" s="2">
        <f t="shared" si="10"/>
        <v>42.6</v>
      </c>
      <c r="CW12" s="2">
        <f t="shared" si="11"/>
        <v>44.951819496438176</v>
      </c>
      <c r="CX12" s="2">
        <f t="shared" si="12"/>
        <v>70</v>
      </c>
      <c r="CY12" s="2">
        <f t="shared" si="13"/>
        <v>49.457162000000004</v>
      </c>
      <c r="CZ12" s="37">
        <f t="shared" si="53"/>
        <v>194.42999999999961</v>
      </c>
      <c r="DA12" s="37">
        <f t="shared" si="53"/>
        <v>149.9</v>
      </c>
      <c r="DB12" s="37">
        <f t="shared" si="53"/>
        <v>127.6</v>
      </c>
      <c r="DC12" s="37">
        <f t="shared" si="53"/>
        <v>169.44932958444605</v>
      </c>
      <c r="DD12" s="37"/>
      <c r="DE12" s="37">
        <f t="shared" si="54"/>
        <v>161.961544</v>
      </c>
      <c r="DF12" s="33">
        <f t="shared" si="64"/>
        <v>127.14708071999999</v>
      </c>
      <c r="DG12" s="2"/>
      <c r="DH12" s="2"/>
      <c r="DI12" s="2">
        <f t="shared" si="14"/>
        <v>69.999999999999901</v>
      </c>
      <c r="DJ12" s="2">
        <f t="shared" ref="DJ12:DJ31" si="80">O12</f>
        <v>1355.3599999999899</v>
      </c>
      <c r="DK12" s="2">
        <f t="shared" si="16"/>
        <v>1152.0559999999914</v>
      </c>
      <c r="DL12" s="2">
        <f t="shared" si="17"/>
        <v>1734.8607999999872</v>
      </c>
      <c r="DM12" s="1">
        <f t="shared" ref="DM12:DM31" si="81">DL12*0.9</f>
        <v>1561.3747199999884</v>
      </c>
      <c r="DN12" s="2" t="str">
        <f t="shared" si="18"/>
        <v/>
      </c>
      <c r="DO12" s="2" t="str">
        <f t="shared" si="19"/>
        <v/>
      </c>
      <c r="DP12" s="2">
        <f t="shared" si="20"/>
        <v>1500</v>
      </c>
      <c r="DQ12" s="2">
        <f t="shared" si="21"/>
        <v>78</v>
      </c>
      <c r="DR12" s="2"/>
      <c r="DS12" s="2"/>
      <c r="DT12" s="2"/>
      <c r="DU12" s="2">
        <f t="shared" si="42"/>
        <v>5032.6775039999757</v>
      </c>
      <c r="DV12" s="2"/>
      <c r="DW12" s="2"/>
      <c r="DX12" s="2"/>
      <c r="DY12" s="2"/>
      <c r="DZ12" s="2"/>
      <c r="EA12" s="2">
        <f t="shared" si="43"/>
        <v>4667.329999999979</v>
      </c>
      <c r="EB12" s="2"/>
      <c r="EC12" s="2"/>
      <c r="ED12" s="2"/>
      <c r="EE12" s="2"/>
      <c r="EF12" s="2"/>
      <c r="EG12" s="2"/>
      <c r="EH12" s="2"/>
      <c r="EI12" s="2"/>
      <c r="EJ12" s="2">
        <v>56.43</v>
      </c>
      <c r="EK12" s="2"/>
      <c r="EL12" s="2">
        <f t="shared" si="44"/>
        <v>35.789999999999985</v>
      </c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</row>
    <row r="13" spans="1:153" x14ac:dyDescent="0.25">
      <c r="A13" s="28">
        <v>41292</v>
      </c>
      <c r="B13" s="28">
        <v>41298</v>
      </c>
      <c r="C13" s="21" t="s">
        <v>25</v>
      </c>
      <c r="D13" s="2">
        <v>4</v>
      </c>
      <c r="E13" s="21" t="s">
        <v>26</v>
      </c>
      <c r="F13" s="21" t="s">
        <v>27</v>
      </c>
      <c r="G13" s="21" t="s">
        <v>28</v>
      </c>
      <c r="H13" s="21"/>
      <c r="I13" s="21"/>
      <c r="J13">
        <v>54.399999999999991</v>
      </c>
      <c r="K13">
        <f t="shared" si="31"/>
        <v>244.09999999999997</v>
      </c>
      <c r="L13" s="29">
        <v>41.7899999999999</v>
      </c>
      <c r="M13" s="2">
        <f t="shared" si="55"/>
        <v>249.9999999999994</v>
      </c>
      <c r="N13" s="29">
        <v>12.02</v>
      </c>
      <c r="O13" s="29">
        <v>1551.8099999999899</v>
      </c>
      <c r="P13" s="2"/>
      <c r="Q13" s="2">
        <f t="shared" si="22"/>
        <v>6219.1399999999685</v>
      </c>
      <c r="R13" s="30" t="str">
        <f t="shared" si="0"/>
        <v/>
      </c>
      <c r="S13" s="2"/>
      <c r="T13" s="2"/>
      <c r="U13" s="29">
        <v>81</v>
      </c>
      <c r="V13" s="29">
        <v>4.5899999999999901</v>
      </c>
      <c r="W13" s="29">
        <v>3.71</v>
      </c>
      <c r="X13" s="29">
        <v>13.38</v>
      </c>
      <c r="Y13" s="29">
        <v>28.66</v>
      </c>
      <c r="Z13" s="2"/>
      <c r="AA13" s="2">
        <v>47.900000000000006</v>
      </c>
      <c r="AB13" s="2">
        <f t="shared" si="32"/>
        <v>180.1</v>
      </c>
      <c r="AC13" s="2"/>
      <c r="AD13" s="2">
        <v>1999.9999999999991</v>
      </c>
      <c r="AE13" s="2">
        <v>5699.9999999999991</v>
      </c>
      <c r="AF13" s="2">
        <v>0</v>
      </c>
      <c r="AG13" s="2">
        <v>88</v>
      </c>
      <c r="AH13" s="2"/>
      <c r="AI13" s="2"/>
      <c r="AJ13" s="30"/>
      <c r="AK13" s="30">
        <v>4</v>
      </c>
      <c r="AL13" s="30"/>
      <c r="AM13" s="31">
        <v>0.2</v>
      </c>
      <c r="AN13" s="32">
        <v>51.570951999999998</v>
      </c>
      <c r="AO13" s="29"/>
      <c r="AP13" s="33">
        <v>92.557394865000035</v>
      </c>
      <c r="AQ13" s="33">
        <v>42.052373414999984</v>
      </c>
      <c r="AR13" s="33">
        <v>169.19945413499997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1"/>
      <c r="BE13" s="2"/>
      <c r="BF13" s="2"/>
      <c r="BG13" s="34">
        <v>1</v>
      </c>
      <c r="BH13" s="2"/>
      <c r="BI13" s="33">
        <f t="shared" si="45"/>
        <v>42.052373414999984</v>
      </c>
      <c r="BJ13" s="38">
        <v>53.928777430135291</v>
      </c>
      <c r="BK13" s="46">
        <f t="shared" si="56"/>
        <v>223.37810701458133</v>
      </c>
      <c r="BL13" s="33">
        <v>41.7899999999999</v>
      </c>
      <c r="BM13" s="38"/>
      <c r="BN13" s="1">
        <v>50.599999999999994</v>
      </c>
      <c r="BO13" s="1">
        <f t="shared" si="33"/>
        <v>221.29999999999998</v>
      </c>
      <c r="BP13" s="1">
        <v>1</v>
      </c>
      <c r="BQ13" s="2">
        <v>100</v>
      </c>
      <c r="BR13" s="2"/>
      <c r="BS13" s="2"/>
      <c r="BT13" s="2" t="s">
        <v>33</v>
      </c>
      <c r="BU13" s="2">
        <v>92.557394865000035</v>
      </c>
      <c r="BV13" s="2">
        <v>108.24</v>
      </c>
      <c r="BW13" s="2">
        <v>54.12</v>
      </c>
      <c r="BX13" s="2">
        <v>1200</v>
      </c>
      <c r="BY13" s="33">
        <v>-15.68260513499996</v>
      </c>
      <c r="BZ13" s="39">
        <v>44.132037000000004</v>
      </c>
      <c r="CA13" s="2">
        <v>60</v>
      </c>
      <c r="CB13" s="2">
        <v>0</v>
      </c>
      <c r="CC13" s="2"/>
      <c r="CD13" s="2"/>
      <c r="CE13" s="33">
        <f t="shared" si="65"/>
        <v>9.7185785850000173</v>
      </c>
      <c r="CF13" s="2"/>
      <c r="CG13" s="2"/>
      <c r="CH13" s="33" t="e">
        <f t="shared" ref="CH13" si="82">#REF!</f>
        <v>#REF!</v>
      </c>
      <c r="CI13" s="33" t="e">
        <f t="shared" ref="CI13" si="83">#REF!</f>
        <v>#REF!</v>
      </c>
      <c r="CJ13" s="33" t="e">
        <f t="shared" ref="CJ13" si="84">#REF!</f>
        <v>#REF!</v>
      </c>
      <c r="CK13" s="33" t="e">
        <f t="shared" ref="CK13" si="85">#REF!</f>
        <v>#REF!</v>
      </c>
      <c r="CL13" s="33" t="e">
        <f t="shared" ref="CL13" si="86">#REF!</f>
        <v>#REF!</v>
      </c>
      <c r="CM13" s="33" t="e">
        <f t="shared" ref="CM13" si="87">#REF!</f>
        <v>#REF!</v>
      </c>
      <c r="CN13" s="33" t="e">
        <f t="shared" ref="CN13" si="88">#REF!</f>
        <v>#REF!</v>
      </c>
      <c r="CO13" s="2"/>
      <c r="CP13" s="35"/>
      <c r="CQ13" s="35"/>
      <c r="CR13" s="2"/>
      <c r="CS13" s="2"/>
      <c r="CT13" s="2">
        <f t="shared" si="8"/>
        <v>41.7899999999999</v>
      </c>
      <c r="CU13" s="2">
        <f t="shared" si="9"/>
        <v>50.599999999999994</v>
      </c>
      <c r="CV13" s="2">
        <f t="shared" si="10"/>
        <v>47.900000000000006</v>
      </c>
      <c r="CW13" s="2">
        <f t="shared" si="11"/>
        <v>53.928777430135291</v>
      </c>
      <c r="CX13" s="2">
        <f t="shared" si="12"/>
        <v>60</v>
      </c>
      <c r="CY13" s="2">
        <f t="shared" si="13"/>
        <v>44.132037000000004</v>
      </c>
      <c r="CZ13" s="2">
        <f t="shared" si="53"/>
        <v>236.21999999999952</v>
      </c>
      <c r="DA13" s="2">
        <f t="shared" si="53"/>
        <v>200.5</v>
      </c>
      <c r="DB13" s="2">
        <f t="shared" si="53"/>
        <v>175.5</v>
      </c>
      <c r="DC13" s="2">
        <f t="shared" si="53"/>
        <v>223.37810701458133</v>
      </c>
      <c r="DD13" s="2"/>
      <c r="DE13" s="2">
        <f t="shared" si="54"/>
        <v>206.093581</v>
      </c>
      <c r="DF13" s="33">
        <f t="shared" si="64"/>
        <v>169.19945413499997</v>
      </c>
      <c r="DG13" s="2"/>
      <c r="DH13" s="2"/>
      <c r="DI13" s="2">
        <f t="shared" si="14"/>
        <v>81</v>
      </c>
      <c r="DJ13" s="2">
        <f t="shared" si="80"/>
        <v>1551.8099999999899</v>
      </c>
      <c r="DK13" s="2">
        <f t="shared" si="16"/>
        <v>1319.0384999999915</v>
      </c>
      <c r="DL13" s="2">
        <f t="shared" si="17"/>
        <v>1986.3167999999871</v>
      </c>
      <c r="DM13" s="1">
        <f t="shared" si="81"/>
        <v>1787.6851199999885</v>
      </c>
      <c r="DN13" s="2" t="str">
        <f t="shared" si="18"/>
        <v/>
      </c>
      <c r="DO13" s="2" t="str">
        <f t="shared" si="19"/>
        <v/>
      </c>
      <c r="DP13" s="2">
        <f t="shared" si="20"/>
        <v>1999.9999999999991</v>
      </c>
      <c r="DQ13" s="2">
        <f t="shared" si="21"/>
        <v>88</v>
      </c>
      <c r="DR13" s="2"/>
      <c r="DS13" s="2"/>
      <c r="DT13" s="2"/>
      <c r="DU13" s="2">
        <f t="shared" si="42"/>
        <v>6820.3626239999639</v>
      </c>
      <c r="DV13" s="2"/>
      <c r="DW13" s="2"/>
      <c r="DX13" s="2"/>
      <c r="DY13" s="2"/>
      <c r="DZ13" s="2"/>
      <c r="EA13" s="2">
        <f t="shared" si="43"/>
        <v>6219.1399999999685</v>
      </c>
      <c r="EB13" s="2"/>
      <c r="EC13" s="2"/>
      <c r="ED13" s="2"/>
      <c r="EE13" s="2"/>
      <c r="EF13" s="2"/>
      <c r="EG13" s="2"/>
      <c r="EH13" s="2"/>
      <c r="EI13" s="2"/>
      <c r="EJ13" s="2">
        <v>58.8</v>
      </c>
      <c r="EK13" s="2"/>
      <c r="EL13" s="2">
        <f t="shared" si="44"/>
        <v>47.809999999999988</v>
      </c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</row>
    <row r="14" spans="1:153" x14ac:dyDescent="0.25">
      <c r="A14" s="28">
        <v>41299</v>
      </c>
      <c r="B14" s="28">
        <v>41305</v>
      </c>
      <c r="C14" s="21" t="s">
        <v>25</v>
      </c>
      <c r="D14" s="2">
        <v>4</v>
      </c>
      <c r="E14" s="21" t="s">
        <v>26</v>
      </c>
      <c r="F14" s="21" t="s">
        <v>27</v>
      </c>
      <c r="G14" s="21" t="s">
        <v>28</v>
      </c>
      <c r="H14" s="21"/>
      <c r="I14" s="21"/>
      <c r="J14">
        <v>55.3</v>
      </c>
      <c r="K14">
        <f t="shared" si="31"/>
        <v>299.39999999999998</v>
      </c>
      <c r="L14" s="29">
        <v>49.299999999999898</v>
      </c>
      <c r="M14" s="2">
        <f t="shared" si="55"/>
        <v>299.29999999999927</v>
      </c>
      <c r="N14" s="29">
        <v>2.73</v>
      </c>
      <c r="O14" s="29">
        <v>2107.4299999999898</v>
      </c>
      <c r="P14" s="2"/>
      <c r="Q14" s="2">
        <f t="shared" si="22"/>
        <v>8326.5699999999579</v>
      </c>
      <c r="R14" s="30" t="str">
        <f t="shared" si="0"/>
        <v/>
      </c>
      <c r="S14" s="2"/>
      <c r="T14" s="2"/>
      <c r="U14" s="29">
        <v>89</v>
      </c>
      <c r="V14" s="29">
        <v>7.6299999999999901</v>
      </c>
      <c r="W14" s="29">
        <v>4.2699999999999898</v>
      </c>
      <c r="X14" s="29">
        <v>23.02</v>
      </c>
      <c r="Y14" s="29">
        <v>55.12</v>
      </c>
      <c r="Z14" s="2"/>
      <c r="AA14" s="2">
        <v>55.300000000000004</v>
      </c>
      <c r="AB14" s="2">
        <f t="shared" si="32"/>
        <v>235.4</v>
      </c>
      <c r="AC14" s="2"/>
      <c r="AD14" s="2">
        <v>2000.0000000000009</v>
      </c>
      <c r="AE14" s="2">
        <v>7700</v>
      </c>
      <c r="AF14" s="2">
        <v>0</v>
      </c>
      <c r="AG14" s="2">
        <v>93</v>
      </c>
      <c r="AH14" s="2"/>
      <c r="AI14" s="2"/>
      <c r="AJ14" s="30"/>
      <c r="AK14" s="30">
        <v>5</v>
      </c>
      <c r="AL14" s="30"/>
      <c r="AM14" s="31">
        <v>0.2</v>
      </c>
      <c r="AN14" s="32">
        <v>56.08105599999999</v>
      </c>
      <c r="AO14" s="29"/>
      <c r="AP14" s="33">
        <v>90.867207285000021</v>
      </c>
      <c r="AQ14" s="33">
        <v>57.971243580000007</v>
      </c>
      <c r="AR14" s="33">
        <v>227.17069771499996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1"/>
      <c r="BE14" s="2"/>
      <c r="BF14" s="2"/>
      <c r="BG14" s="34">
        <v>1</v>
      </c>
      <c r="BH14" s="2"/>
      <c r="BI14" s="33">
        <f t="shared" si="45"/>
        <v>57.971243580000007</v>
      </c>
      <c r="BJ14" s="38">
        <v>51.757092205204472</v>
      </c>
      <c r="BK14" s="46">
        <f t="shared" si="56"/>
        <v>275.13519921978582</v>
      </c>
      <c r="BL14" s="33">
        <v>91.089999999999804</v>
      </c>
      <c r="BM14" s="38"/>
      <c r="BN14" s="1">
        <v>50.400000000000006</v>
      </c>
      <c r="BO14" s="1">
        <f t="shared" si="33"/>
        <v>271.7</v>
      </c>
      <c r="BP14" s="1">
        <v>1</v>
      </c>
      <c r="BQ14" s="2">
        <v>100</v>
      </c>
      <c r="BR14" s="2"/>
      <c r="BS14" s="2"/>
      <c r="BT14" s="2" t="s">
        <v>34</v>
      </c>
      <c r="BU14" s="2">
        <v>90.867207285000021</v>
      </c>
      <c r="BV14" s="2">
        <v>108.24</v>
      </c>
      <c r="BW14" s="2">
        <v>54.12</v>
      </c>
      <c r="BX14" s="2">
        <v>1200</v>
      </c>
      <c r="BY14" s="33">
        <v>-17.372792714999974</v>
      </c>
      <c r="BZ14" s="39">
        <v>58.810058999999995</v>
      </c>
      <c r="CA14" s="2">
        <v>65</v>
      </c>
      <c r="CB14" s="2">
        <v>0</v>
      </c>
      <c r="CC14" s="2"/>
      <c r="CD14" s="2"/>
      <c r="CE14" s="33">
        <f t="shared" si="65"/>
        <v>-1.6901875800000141</v>
      </c>
      <c r="CF14" s="2"/>
      <c r="CG14" s="2"/>
      <c r="CH14" s="33" t="e">
        <f t="shared" ref="CH14" si="89">#REF!</f>
        <v>#REF!</v>
      </c>
      <c r="CI14" s="33" t="e">
        <f t="shared" ref="CI14" si="90">#REF!</f>
        <v>#REF!</v>
      </c>
      <c r="CJ14" s="33" t="e">
        <f t="shared" ref="CJ14" si="91">#REF!</f>
        <v>#REF!</v>
      </c>
      <c r="CK14" s="33" t="e">
        <f t="shared" ref="CK14" si="92">#REF!</f>
        <v>#REF!</v>
      </c>
      <c r="CL14" s="33" t="e">
        <f t="shared" ref="CL14" si="93">#REF!</f>
        <v>#REF!</v>
      </c>
      <c r="CM14" s="33" t="e">
        <f t="shared" ref="CM14" si="94">#REF!</f>
        <v>#REF!</v>
      </c>
      <c r="CN14" s="33" t="e">
        <f t="shared" ref="CN14" si="95">#REF!</f>
        <v>#REF!</v>
      </c>
      <c r="CO14" s="2"/>
      <c r="CP14" s="35"/>
      <c r="CQ14" s="35"/>
      <c r="CR14" s="2"/>
      <c r="CS14" s="2"/>
      <c r="CT14" s="2">
        <f t="shared" si="8"/>
        <v>49.299999999999898</v>
      </c>
      <c r="CU14" s="2">
        <f t="shared" si="9"/>
        <v>50.400000000000006</v>
      </c>
      <c r="CV14" s="2">
        <f t="shared" si="10"/>
        <v>55.300000000000004</v>
      </c>
      <c r="CW14" s="2">
        <f t="shared" si="11"/>
        <v>51.757092205204472</v>
      </c>
      <c r="CX14" s="2">
        <f t="shared" si="12"/>
        <v>65</v>
      </c>
      <c r="CY14" s="2">
        <f t="shared" si="13"/>
        <v>58.810058999999995</v>
      </c>
      <c r="CZ14" s="2">
        <f t="shared" si="53"/>
        <v>285.51999999999941</v>
      </c>
      <c r="DA14" s="2">
        <f t="shared" si="53"/>
        <v>250.9</v>
      </c>
      <c r="DB14" s="2">
        <f t="shared" si="53"/>
        <v>230.8</v>
      </c>
      <c r="DC14" s="2">
        <f t="shared" si="53"/>
        <v>275.13519921978582</v>
      </c>
      <c r="DD14" s="2"/>
      <c r="DE14" s="2">
        <f t="shared" si="54"/>
        <v>264.90364</v>
      </c>
      <c r="DF14" s="33">
        <f t="shared" si="64"/>
        <v>227.17069771499996</v>
      </c>
      <c r="DG14" s="2"/>
      <c r="DH14" s="2"/>
      <c r="DI14" s="2">
        <f t="shared" si="14"/>
        <v>89</v>
      </c>
      <c r="DJ14" s="2">
        <f t="shared" si="80"/>
        <v>2107.4299999999898</v>
      </c>
      <c r="DK14" s="2">
        <f t="shared" si="16"/>
        <v>1791.3154999999913</v>
      </c>
      <c r="DL14" s="2">
        <f t="shared" si="17"/>
        <v>2697.5103999999869</v>
      </c>
      <c r="DM14" s="1">
        <f t="shared" si="81"/>
        <v>2427.7593599999882</v>
      </c>
      <c r="DN14" s="2" t="str">
        <f t="shared" si="18"/>
        <v/>
      </c>
      <c r="DO14" s="2" t="str">
        <f t="shared" si="19"/>
        <v/>
      </c>
      <c r="DP14" s="2">
        <f t="shared" si="20"/>
        <v>2000.0000000000009</v>
      </c>
      <c r="DQ14" s="2">
        <f t="shared" si="21"/>
        <v>93</v>
      </c>
      <c r="DR14" s="2"/>
      <c r="DS14" s="2"/>
      <c r="DT14" s="2"/>
      <c r="DU14" s="2">
        <f t="shared" si="42"/>
        <v>9248.1219839999521</v>
      </c>
      <c r="DV14" s="2"/>
      <c r="DW14" s="2"/>
      <c r="DX14" s="2"/>
      <c r="DY14" s="2"/>
      <c r="DZ14" s="2"/>
      <c r="EA14" s="2">
        <f t="shared" si="43"/>
        <v>8326.5699999999579</v>
      </c>
      <c r="EB14" s="2"/>
      <c r="EC14" s="2"/>
      <c r="ED14" s="2"/>
      <c r="EE14" s="2"/>
      <c r="EF14" s="2"/>
      <c r="EG14" s="2"/>
      <c r="EH14" s="2"/>
      <c r="EI14" s="2"/>
      <c r="EJ14" s="2">
        <v>59.28</v>
      </c>
      <c r="EK14" s="2"/>
      <c r="EL14" s="2">
        <f t="shared" si="44"/>
        <v>50.539999999999985</v>
      </c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</row>
    <row r="15" spans="1:153" x14ac:dyDescent="0.25">
      <c r="A15" s="28">
        <v>41306</v>
      </c>
      <c r="B15" s="28">
        <v>41312</v>
      </c>
      <c r="C15" s="21" t="s">
        <v>25</v>
      </c>
      <c r="D15" s="2">
        <v>4</v>
      </c>
      <c r="E15" s="21" t="s">
        <v>26</v>
      </c>
      <c r="F15" s="21" t="s">
        <v>27</v>
      </c>
      <c r="G15" s="21" t="s">
        <v>28</v>
      </c>
      <c r="H15" s="21"/>
      <c r="I15" s="21"/>
      <c r="J15">
        <v>53.2</v>
      </c>
      <c r="K15">
        <f t="shared" si="31"/>
        <v>352.59999999999997</v>
      </c>
      <c r="L15" s="29">
        <v>48.56</v>
      </c>
      <c r="M15" s="2">
        <f t="shared" si="55"/>
        <v>347.85999999999927</v>
      </c>
      <c r="N15" s="29">
        <v>2.6899999999999902</v>
      </c>
      <c r="O15" s="29">
        <v>2152.3499999999899</v>
      </c>
      <c r="P15" s="2"/>
      <c r="Q15" s="2">
        <f t="shared" si="22"/>
        <v>10478.919999999947</v>
      </c>
      <c r="R15" s="30" t="e">
        <f t="shared" si="0"/>
        <v>#VALUE!</v>
      </c>
      <c r="S15" s="2"/>
      <c r="T15" s="2"/>
      <c r="U15" s="29">
        <v>89</v>
      </c>
      <c r="V15" s="29">
        <v>7.6299999999999901</v>
      </c>
      <c r="W15" s="29">
        <v>4.4299999999999899</v>
      </c>
      <c r="X15" s="29"/>
      <c r="Y15" s="29"/>
      <c r="Z15" s="2"/>
      <c r="AA15" s="2">
        <v>48.6</v>
      </c>
      <c r="AB15" s="2">
        <f t="shared" si="32"/>
        <v>284</v>
      </c>
      <c r="AC15" s="2"/>
      <c r="AD15" s="2">
        <v>1900</v>
      </c>
      <c r="AE15" s="2">
        <v>9600</v>
      </c>
      <c r="AF15" s="2">
        <v>0.8</v>
      </c>
      <c r="AG15" s="2">
        <v>96</v>
      </c>
      <c r="AH15" s="2"/>
      <c r="AI15" s="2"/>
      <c r="AJ15" s="30"/>
      <c r="AK15" s="30">
        <v>5.6</v>
      </c>
      <c r="AL15" s="30"/>
      <c r="AM15" s="31">
        <v>0</v>
      </c>
      <c r="AN15" s="32">
        <v>53.416064999999989</v>
      </c>
      <c r="AO15" s="29"/>
      <c r="AP15" s="33">
        <v>82.838816280000017</v>
      </c>
      <c r="AQ15" s="33">
        <v>61.444456004999992</v>
      </c>
      <c r="AR15" s="33">
        <v>288.61515371999997</v>
      </c>
      <c r="AS15" s="2"/>
      <c r="AT15" s="29"/>
      <c r="AU15" s="29">
        <v>9.6199999999999992</v>
      </c>
      <c r="AV15" s="29"/>
      <c r="AW15" s="29">
        <v>0.96</v>
      </c>
      <c r="AX15" s="29">
        <v>5.14</v>
      </c>
      <c r="AY15" s="29">
        <v>7.62</v>
      </c>
      <c r="AZ15" s="29">
        <v>2.69</v>
      </c>
      <c r="BA15" s="2">
        <v>197.1</v>
      </c>
      <c r="BB15" s="29">
        <v>50.6</v>
      </c>
      <c r="BC15" s="2">
        <v>3.31</v>
      </c>
      <c r="BD15" s="1">
        <v>0.86299999999999999</v>
      </c>
      <c r="BE15" s="2">
        <v>96</v>
      </c>
      <c r="BF15" s="2">
        <v>9620</v>
      </c>
      <c r="BG15" s="34">
        <v>2</v>
      </c>
      <c r="BH15" s="2">
        <v>6610</v>
      </c>
      <c r="BI15" s="33">
        <f t="shared" si="45"/>
        <v>61.444456004999992</v>
      </c>
      <c r="BJ15" s="38">
        <v>39.907546082777756</v>
      </c>
      <c r="BK15" s="46">
        <f t="shared" si="56"/>
        <v>315.04274530256356</v>
      </c>
      <c r="BL15" s="33">
        <v>139.64999999999981</v>
      </c>
      <c r="BM15" s="38"/>
      <c r="BN15" s="1">
        <v>48.899999999999991</v>
      </c>
      <c r="BO15" s="1">
        <f t="shared" si="33"/>
        <v>320.59999999999997</v>
      </c>
      <c r="BP15" s="1">
        <v>1</v>
      </c>
      <c r="BQ15" s="2">
        <v>100</v>
      </c>
      <c r="BR15" s="2"/>
      <c r="BS15" s="2"/>
      <c r="BT15" s="2" t="s">
        <v>35</v>
      </c>
      <c r="BU15" s="2">
        <v>82.838816280000017</v>
      </c>
      <c r="BV15" s="2">
        <v>108.24</v>
      </c>
      <c r="BW15" s="2">
        <v>54.12</v>
      </c>
      <c r="BX15" s="2">
        <v>1200</v>
      </c>
      <c r="BY15" s="33">
        <v>-25.401183719999977</v>
      </c>
      <c r="BZ15" s="39">
        <v>62.718842000000009</v>
      </c>
      <c r="CA15" s="2">
        <v>65</v>
      </c>
      <c r="CB15" s="2">
        <v>0</v>
      </c>
      <c r="CC15" s="2" t="s">
        <v>36</v>
      </c>
      <c r="CD15" s="2"/>
      <c r="CE15" s="33">
        <f t="shared" si="65"/>
        <v>-8.0283910050000031</v>
      </c>
      <c r="CF15" s="2"/>
      <c r="CG15" s="2"/>
      <c r="CH15" s="33" t="e">
        <f t="shared" ref="CH15" si="96">#REF!</f>
        <v>#REF!</v>
      </c>
      <c r="CI15" s="33" t="e">
        <f t="shared" ref="CI15" si="97">#REF!</f>
        <v>#REF!</v>
      </c>
      <c r="CJ15" s="33" t="e">
        <f t="shared" ref="CJ15" si="98">#REF!</f>
        <v>#REF!</v>
      </c>
      <c r="CK15" s="33" t="e">
        <f t="shared" ref="CK15" si="99">#REF!</f>
        <v>#REF!</v>
      </c>
      <c r="CL15" s="33" t="e">
        <f t="shared" ref="CL15" si="100">#REF!</f>
        <v>#REF!</v>
      </c>
      <c r="CM15" s="33" t="e">
        <f t="shared" ref="CM15" si="101">#REF!</f>
        <v>#REF!</v>
      </c>
      <c r="CN15" s="33" t="e">
        <f t="shared" ref="CN15" si="102">#REF!</f>
        <v>#REF!</v>
      </c>
      <c r="CO15" s="2"/>
      <c r="CP15" s="35"/>
      <c r="CQ15" s="35"/>
      <c r="CR15" s="2"/>
      <c r="CS15" s="2"/>
      <c r="CT15" s="2">
        <f t="shared" si="8"/>
        <v>48.56</v>
      </c>
      <c r="CU15" s="2">
        <f t="shared" si="9"/>
        <v>48.899999999999991</v>
      </c>
      <c r="CV15" s="2">
        <f t="shared" si="10"/>
        <v>48.6</v>
      </c>
      <c r="CW15" s="2">
        <f t="shared" si="11"/>
        <v>39.907546082777756</v>
      </c>
      <c r="CX15" s="2">
        <f t="shared" si="12"/>
        <v>65</v>
      </c>
      <c r="CY15" s="2">
        <f t="shared" si="13"/>
        <v>62.718842000000009</v>
      </c>
      <c r="CZ15" s="2">
        <f t="shared" si="53"/>
        <v>334.07999999999942</v>
      </c>
      <c r="DA15" s="2">
        <f t="shared" si="53"/>
        <v>299.8</v>
      </c>
      <c r="DB15" s="2">
        <f t="shared" si="53"/>
        <v>279.40000000000003</v>
      </c>
      <c r="DC15" s="2">
        <f t="shared" si="53"/>
        <v>315.04274530256356</v>
      </c>
      <c r="DD15" s="2"/>
      <c r="DE15" s="2">
        <f t="shared" si="54"/>
        <v>327.62248199999999</v>
      </c>
      <c r="DF15" s="33">
        <f t="shared" si="64"/>
        <v>288.61515371999997</v>
      </c>
      <c r="DG15" s="2"/>
      <c r="DH15" s="2"/>
      <c r="DI15" s="2">
        <f t="shared" si="14"/>
        <v>89</v>
      </c>
      <c r="DJ15" s="2">
        <f t="shared" si="80"/>
        <v>2152.3499999999899</v>
      </c>
      <c r="DK15" s="2">
        <f t="shared" si="16"/>
        <v>1829.4974999999913</v>
      </c>
      <c r="DL15" s="2">
        <f t="shared" si="17"/>
        <v>2755.0079999999871</v>
      </c>
      <c r="DM15" s="1">
        <f t="shared" si="81"/>
        <v>2479.5071999999886</v>
      </c>
      <c r="DN15" s="2">
        <f t="shared" si="18"/>
        <v>9620</v>
      </c>
      <c r="DO15" s="2">
        <f t="shared" si="19"/>
        <v>96</v>
      </c>
      <c r="DP15" s="2">
        <f t="shared" si="20"/>
        <v>1900</v>
      </c>
      <c r="DQ15" s="2">
        <f t="shared" si="21"/>
        <v>96</v>
      </c>
      <c r="DR15" s="2">
        <v>1</v>
      </c>
      <c r="DS15" s="2">
        <f>DN15</f>
        <v>9620</v>
      </c>
      <c r="DT15" s="2">
        <f>DN15</f>
        <v>9620</v>
      </c>
      <c r="DU15" s="41">
        <f t="shared" si="42"/>
        <v>11727.629183999941</v>
      </c>
      <c r="DV15" s="2"/>
      <c r="DW15" s="2"/>
      <c r="DX15" s="2"/>
      <c r="DY15" s="2"/>
      <c r="DZ15" s="2"/>
      <c r="EA15" s="41">
        <f t="shared" si="43"/>
        <v>10478.919999999947</v>
      </c>
      <c r="EB15" s="2"/>
      <c r="EC15" s="2"/>
      <c r="ED15" s="2"/>
      <c r="EE15" s="2"/>
      <c r="EF15" s="2"/>
      <c r="EG15" s="2"/>
      <c r="EH15" s="2"/>
      <c r="EI15" s="2"/>
      <c r="EJ15" s="2">
        <v>58.13</v>
      </c>
      <c r="EK15" s="2"/>
      <c r="EL15" s="2">
        <f t="shared" si="44"/>
        <v>53.229999999999976</v>
      </c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</row>
    <row r="16" spans="1:153" x14ac:dyDescent="0.25">
      <c r="A16" s="28">
        <v>41313</v>
      </c>
      <c r="B16" s="28">
        <v>41319</v>
      </c>
      <c r="C16" s="21" t="s">
        <v>25</v>
      </c>
      <c r="D16" s="2">
        <v>4</v>
      </c>
      <c r="E16" s="21" t="s">
        <v>26</v>
      </c>
      <c r="F16" s="21" t="s">
        <v>27</v>
      </c>
      <c r="G16" s="21" t="s">
        <v>28</v>
      </c>
      <c r="H16" s="21"/>
      <c r="I16" s="21"/>
      <c r="J16">
        <v>51.6</v>
      </c>
      <c r="K16">
        <f t="shared" si="31"/>
        <v>404.2</v>
      </c>
      <c r="L16" s="29">
        <v>42.99</v>
      </c>
      <c r="M16" s="2">
        <f t="shared" si="55"/>
        <v>390.84999999999928</v>
      </c>
      <c r="N16" s="29">
        <v>10.17</v>
      </c>
      <c r="O16" s="29">
        <v>1573.3299999999899</v>
      </c>
      <c r="P16" s="2"/>
      <c r="Q16" s="2">
        <f t="shared" si="22"/>
        <v>12052.249999999938</v>
      </c>
      <c r="R16" s="30" t="str">
        <f t="shared" si="0"/>
        <v/>
      </c>
      <c r="S16" s="2"/>
      <c r="T16" s="2"/>
      <c r="U16" s="29">
        <v>89</v>
      </c>
      <c r="V16" s="29">
        <v>7.6299999999999901</v>
      </c>
      <c r="W16" s="29">
        <v>3.66</v>
      </c>
      <c r="X16" s="29">
        <v>26.47</v>
      </c>
      <c r="Y16" s="29">
        <v>63.35</v>
      </c>
      <c r="Z16" s="2"/>
      <c r="AA16" s="2">
        <v>47.900000000000006</v>
      </c>
      <c r="AB16" s="2">
        <f t="shared" si="32"/>
        <v>331.9</v>
      </c>
      <c r="AC16" s="2"/>
      <c r="AD16" s="2">
        <v>1799.9999999999982</v>
      </c>
      <c r="AE16" s="2">
        <v>11399.999999999998</v>
      </c>
      <c r="AF16" s="2">
        <v>2.6</v>
      </c>
      <c r="AG16" s="2">
        <v>96</v>
      </c>
      <c r="AH16" s="2"/>
      <c r="AI16" s="2"/>
      <c r="AJ16" s="30"/>
      <c r="AK16" s="30">
        <v>5.6</v>
      </c>
      <c r="AL16" s="30"/>
      <c r="AM16" s="31">
        <v>4.5999999999999996</v>
      </c>
      <c r="AN16" s="32">
        <v>51.118692000000003</v>
      </c>
      <c r="AO16" s="29"/>
      <c r="AP16" s="33">
        <v>79.458441120000018</v>
      </c>
      <c r="AQ16" s="33">
        <v>59.099067160000004</v>
      </c>
      <c r="AR16" s="33">
        <v>347.71422087999997</v>
      </c>
      <c r="AS16" s="2"/>
      <c r="AT16" s="2"/>
      <c r="AU16" s="2"/>
      <c r="AV16" s="2"/>
      <c r="AW16" s="2"/>
      <c r="AX16" s="2"/>
      <c r="AY16" s="2"/>
      <c r="AZ16" s="2">
        <v>2.7</v>
      </c>
      <c r="BA16" s="2"/>
      <c r="BB16" s="2"/>
      <c r="BC16" s="2"/>
      <c r="BD16" s="1"/>
      <c r="BE16" s="2"/>
      <c r="BF16" s="2"/>
      <c r="BG16" s="34">
        <v>2</v>
      </c>
      <c r="BH16" s="2"/>
      <c r="BI16" s="33">
        <f t="shared" si="45"/>
        <v>59.099067160000004</v>
      </c>
      <c r="BJ16" s="38">
        <v>40.052672278972693</v>
      </c>
      <c r="BK16" s="46">
        <f t="shared" si="56"/>
        <v>355.09541758153625</v>
      </c>
      <c r="BL16" s="33">
        <v>182.63999999999982</v>
      </c>
      <c r="BM16" s="38"/>
      <c r="BN16" s="1">
        <v>46.6</v>
      </c>
      <c r="BO16" s="1">
        <f t="shared" si="33"/>
        <v>367.2</v>
      </c>
      <c r="BP16" s="1">
        <v>1</v>
      </c>
      <c r="BQ16" s="2">
        <v>100</v>
      </c>
      <c r="BR16" s="2"/>
      <c r="BS16" s="2"/>
      <c r="BT16" s="2" t="s">
        <v>37</v>
      </c>
      <c r="BU16" s="2">
        <v>79.458441120000018</v>
      </c>
      <c r="BV16" s="2">
        <v>108.24</v>
      </c>
      <c r="BW16" s="2">
        <v>54.12</v>
      </c>
      <c r="BX16" s="2">
        <v>1200</v>
      </c>
      <c r="BY16" s="33">
        <v>-28.781558879999977</v>
      </c>
      <c r="BZ16" s="39">
        <v>60.647213000000008</v>
      </c>
      <c r="CA16" s="2">
        <v>65</v>
      </c>
      <c r="CB16" s="2">
        <v>0</v>
      </c>
      <c r="CC16" s="2">
        <v>3.31</v>
      </c>
      <c r="CD16" s="2"/>
      <c r="CE16" s="33">
        <f t="shared" si="65"/>
        <v>-3.3803751599999998</v>
      </c>
      <c r="CF16" s="2"/>
      <c r="CG16" s="2"/>
      <c r="CH16" s="33" t="e">
        <f t="shared" ref="CH16" si="103">#REF!</f>
        <v>#REF!</v>
      </c>
      <c r="CI16" s="33" t="e">
        <f t="shared" ref="CI16" si="104">#REF!</f>
        <v>#REF!</v>
      </c>
      <c r="CJ16" s="33" t="e">
        <f t="shared" ref="CJ16" si="105">#REF!</f>
        <v>#REF!</v>
      </c>
      <c r="CK16" s="33" t="e">
        <f t="shared" ref="CK16" si="106">#REF!</f>
        <v>#REF!</v>
      </c>
      <c r="CL16" s="33" t="e">
        <f t="shared" ref="CL16" si="107">#REF!</f>
        <v>#REF!</v>
      </c>
      <c r="CM16" s="33" t="e">
        <f t="shared" ref="CM16" si="108">#REF!</f>
        <v>#REF!</v>
      </c>
      <c r="CN16" s="33" t="e">
        <f t="shared" ref="CN16" si="109">#REF!</f>
        <v>#REF!</v>
      </c>
      <c r="CO16" s="2"/>
      <c r="CP16" s="35"/>
      <c r="CQ16" s="35"/>
      <c r="CR16" s="2"/>
      <c r="CS16" s="2"/>
      <c r="CT16" s="2">
        <f t="shared" si="8"/>
        <v>42.99</v>
      </c>
      <c r="CU16" s="2">
        <f t="shared" si="9"/>
        <v>46.6</v>
      </c>
      <c r="CV16" s="2">
        <f t="shared" si="10"/>
        <v>47.900000000000006</v>
      </c>
      <c r="CW16" s="2">
        <f t="shared" si="11"/>
        <v>40.052672278972693</v>
      </c>
      <c r="CX16" s="2">
        <f t="shared" si="12"/>
        <v>65</v>
      </c>
      <c r="CY16" s="2">
        <f t="shared" si="13"/>
        <v>60.647213000000008</v>
      </c>
      <c r="CZ16" s="2">
        <f t="shared" si="53"/>
        <v>377.06999999999942</v>
      </c>
      <c r="DA16" s="2">
        <f t="shared" si="53"/>
        <v>346.40000000000003</v>
      </c>
      <c r="DB16" s="2">
        <f t="shared" si="53"/>
        <v>327.30000000000007</v>
      </c>
      <c r="DC16" s="2">
        <f t="shared" si="53"/>
        <v>355.09541758153625</v>
      </c>
      <c r="DD16" s="2"/>
      <c r="DE16" s="2">
        <f t="shared" si="54"/>
        <v>388.26969500000001</v>
      </c>
      <c r="DF16" s="33">
        <f t="shared" si="64"/>
        <v>347.71422087999997</v>
      </c>
      <c r="DG16" s="2"/>
      <c r="DH16" s="2"/>
      <c r="DI16" s="2">
        <f t="shared" si="14"/>
        <v>89</v>
      </c>
      <c r="DJ16" s="2">
        <f t="shared" si="80"/>
        <v>1573.3299999999899</v>
      </c>
      <c r="DK16" s="2">
        <f t="shared" si="16"/>
        <v>1337.3304999999914</v>
      </c>
      <c r="DL16" s="2">
        <f t="shared" si="17"/>
        <v>2013.8623999999872</v>
      </c>
      <c r="DM16" s="1">
        <f t="shared" si="81"/>
        <v>1812.4761599999886</v>
      </c>
      <c r="DN16" s="2" t="str">
        <f t="shared" si="18"/>
        <v/>
      </c>
      <c r="DO16" s="2" t="str">
        <f t="shared" si="19"/>
        <v/>
      </c>
      <c r="DP16" s="2">
        <f t="shared" si="20"/>
        <v>1799.9999999999982</v>
      </c>
      <c r="DQ16" s="2">
        <f t="shared" si="21"/>
        <v>96</v>
      </c>
      <c r="DR16" s="2"/>
      <c r="DS16" s="2">
        <f t="shared" ref="DS16:DS31" si="110">DS15+DK16</f>
        <v>10957.330499999991</v>
      </c>
      <c r="DT16" s="2">
        <f t="shared" ref="DT16:DT31" si="111">DT15+DM16</f>
        <v>11432.476159999989</v>
      </c>
      <c r="DU16" s="2">
        <f t="shared" si="42"/>
        <v>13540.10534399993</v>
      </c>
      <c r="DV16" s="2"/>
      <c r="DW16" s="2"/>
      <c r="DX16" s="2"/>
      <c r="DY16" s="2"/>
      <c r="DZ16" s="2"/>
      <c r="EA16" s="2">
        <f t="shared" si="43"/>
        <v>12052.249999999938</v>
      </c>
      <c r="EB16" s="2"/>
      <c r="EC16" s="2"/>
      <c r="ED16" s="2"/>
      <c r="EE16" s="2"/>
      <c r="EF16" s="2"/>
      <c r="EG16" s="2"/>
      <c r="EH16" s="2"/>
      <c r="EI16" s="2"/>
      <c r="EJ16" s="2">
        <v>55.61</v>
      </c>
      <c r="EK16" s="2"/>
      <c r="EL16" s="2">
        <f t="shared" si="44"/>
        <v>63.399999999999977</v>
      </c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</row>
    <row r="17" spans="1:153" x14ac:dyDescent="0.25">
      <c r="A17" s="28">
        <v>41320</v>
      </c>
      <c r="B17" s="28">
        <v>41326</v>
      </c>
      <c r="C17" s="21" t="s">
        <v>25</v>
      </c>
      <c r="D17" s="2">
        <v>4</v>
      </c>
      <c r="E17" s="21" t="s">
        <v>26</v>
      </c>
      <c r="F17" s="21" t="s">
        <v>27</v>
      </c>
      <c r="G17" s="21" t="s">
        <v>28</v>
      </c>
      <c r="H17" s="21"/>
      <c r="I17" s="21"/>
      <c r="J17">
        <v>49.900000000000006</v>
      </c>
      <c r="K17">
        <f t="shared" si="31"/>
        <v>454.1</v>
      </c>
      <c r="L17" s="29">
        <v>44.409999999999897</v>
      </c>
      <c r="M17" s="2">
        <f t="shared" si="55"/>
        <v>435.2599999999992</v>
      </c>
      <c r="N17" s="29">
        <v>9.6199999999999903</v>
      </c>
      <c r="O17" s="29">
        <v>1556.14</v>
      </c>
      <c r="P17" s="2"/>
      <c r="Q17" s="2">
        <f t="shared" si="22"/>
        <v>13608.389999999938</v>
      </c>
      <c r="R17" s="30" t="e">
        <f t="shared" si="0"/>
        <v>#VALUE!</v>
      </c>
      <c r="S17" s="2"/>
      <c r="T17" s="2"/>
      <c r="U17" s="29">
        <v>88</v>
      </c>
      <c r="V17" s="29">
        <v>7.61</v>
      </c>
      <c r="W17" s="29">
        <v>3.5</v>
      </c>
      <c r="X17" s="29"/>
      <c r="Y17" s="29"/>
      <c r="Z17" s="2"/>
      <c r="AA17" s="2">
        <v>45.899999999999991</v>
      </c>
      <c r="AB17" s="2">
        <f t="shared" si="32"/>
        <v>377.79999999999995</v>
      </c>
      <c r="AC17" s="2"/>
      <c r="AD17" s="2">
        <v>2100.0000000000018</v>
      </c>
      <c r="AE17" s="2">
        <v>13500</v>
      </c>
      <c r="AF17" s="2">
        <v>4.6000000000000005</v>
      </c>
      <c r="AG17" s="2">
        <v>95</v>
      </c>
      <c r="AH17" s="2"/>
      <c r="AI17" s="2"/>
      <c r="AJ17" s="30"/>
      <c r="AK17" s="30">
        <v>5.5</v>
      </c>
      <c r="AL17" s="30"/>
      <c r="AM17" s="31">
        <v>7.4</v>
      </c>
      <c r="AN17" s="32">
        <v>51.768030000000003</v>
      </c>
      <c r="AO17" s="29"/>
      <c r="AP17" s="33">
        <v>76.923159750000025</v>
      </c>
      <c r="AQ17" s="33">
        <v>61.703311369999994</v>
      </c>
      <c r="AR17" s="33">
        <v>409.41753224999997</v>
      </c>
      <c r="AS17" s="2"/>
      <c r="AT17" s="29"/>
      <c r="AU17" s="29">
        <v>11.57</v>
      </c>
      <c r="AV17" s="29"/>
      <c r="AW17" s="29">
        <v>0.94</v>
      </c>
      <c r="AX17" s="29">
        <v>4.91</v>
      </c>
      <c r="AY17" s="29">
        <v>5.65</v>
      </c>
      <c r="AZ17" s="29">
        <v>2.76</v>
      </c>
      <c r="BA17" s="2">
        <v>36</v>
      </c>
      <c r="BB17" s="29">
        <v>54.7</v>
      </c>
      <c r="BC17" s="2">
        <v>3.34</v>
      </c>
      <c r="BD17" s="1">
        <v>4.2619999999999996</v>
      </c>
      <c r="BE17" s="2">
        <v>94</v>
      </c>
      <c r="BF17" s="2">
        <v>11570</v>
      </c>
      <c r="BG17" s="34">
        <v>3</v>
      </c>
      <c r="BH17" s="2">
        <v>1950</v>
      </c>
      <c r="BI17" s="33">
        <f t="shared" si="45"/>
        <v>61.703311369999994</v>
      </c>
      <c r="BJ17" s="38">
        <v>39.366594946107384</v>
      </c>
      <c r="BK17" s="46">
        <f t="shared" si="56"/>
        <v>394.46201252764365</v>
      </c>
      <c r="BL17" s="33">
        <v>227.04999999999973</v>
      </c>
      <c r="BM17" s="38"/>
      <c r="BN17" s="1">
        <v>44.5</v>
      </c>
      <c r="BO17" s="1">
        <f t="shared" si="33"/>
        <v>411.7</v>
      </c>
      <c r="BP17" s="1">
        <v>1</v>
      </c>
      <c r="BQ17" s="2">
        <v>100</v>
      </c>
      <c r="BR17" s="2"/>
      <c r="BS17" s="2"/>
      <c r="BT17" s="2" t="s">
        <v>38</v>
      </c>
      <c r="BU17" s="2">
        <v>76.923159750000025</v>
      </c>
      <c r="BV17" s="2">
        <v>108.24</v>
      </c>
      <c r="BW17" s="2">
        <v>54.12</v>
      </c>
      <c r="BX17" s="2">
        <v>1200</v>
      </c>
      <c r="BY17" s="33">
        <v>-31.31684024999997</v>
      </c>
      <c r="BZ17" s="39">
        <v>60.959545000000006</v>
      </c>
      <c r="CA17" s="2">
        <v>65</v>
      </c>
      <c r="CB17" s="2">
        <v>0</v>
      </c>
      <c r="CC17" s="2"/>
      <c r="CD17" s="2"/>
      <c r="CE17" s="33">
        <f t="shared" si="65"/>
        <v>-2.5352813699999928</v>
      </c>
      <c r="CF17" s="2"/>
      <c r="CG17" s="2"/>
      <c r="CH17" s="33" t="e">
        <f t="shared" ref="CH17" si="112">#REF!</f>
        <v>#REF!</v>
      </c>
      <c r="CI17" s="33" t="e">
        <f t="shared" ref="CI17" si="113">#REF!</f>
        <v>#REF!</v>
      </c>
      <c r="CJ17" s="33" t="e">
        <f t="shared" ref="CJ17" si="114">#REF!</f>
        <v>#REF!</v>
      </c>
      <c r="CK17" s="33" t="e">
        <f t="shared" ref="CK17" si="115">#REF!</f>
        <v>#REF!</v>
      </c>
      <c r="CL17" s="33" t="e">
        <f t="shared" ref="CL17" si="116">#REF!</f>
        <v>#REF!</v>
      </c>
      <c r="CM17" s="33" t="e">
        <f t="shared" ref="CM17" si="117">#REF!</f>
        <v>#REF!</v>
      </c>
      <c r="CN17" s="33" t="e">
        <f t="shared" ref="CN17" si="118">#REF!</f>
        <v>#REF!</v>
      </c>
      <c r="CO17" s="2"/>
      <c r="CP17" s="35"/>
      <c r="CQ17" s="35"/>
      <c r="CR17" s="2"/>
      <c r="CS17" s="2"/>
      <c r="CT17" s="2">
        <f t="shared" si="8"/>
        <v>44.409999999999897</v>
      </c>
      <c r="CU17" s="2">
        <f t="shared" si="9"/>
        <v>44.5</v>
      </c>
      <c r="CV17" s="2">
        <f t="shared" si="10"/>
        <v>45.899999999999991</v>
      </c>
      <c r="CW17" s="2">
        <f t="shared" si="11"/>
        <v>39.366594946107384</v>
      </c>
      <c r="CX17" s="2">
        <f t="shared" si="12"/>
        <v>65</v>
      </c>
      <c r="CY17" s="2">
        <f t="shared" si="13"/>
        <v>60.959545000000006</v>
      </c>
      <c r="CZ17" s="2">
        <f t="shared" si="53"/>
        <v>421.47999999999934</v>
      </c>
      <c r="DA17" s="2">
        <f t="shared" si="53"/>
        <v>390.90000000000003</v>
      </c>
      <c r="DB17" s="2">
        <f t="shared" si="53"/>
        <v>373.20000000000005</v>
      </c>
      <c r="DC17" s="2">
        <f t="shared" si="53"/>
        <v>394.46201252764365</v>
      </c>
      <c r="DD17" s="2"/>
      <c r="DE17" s="2">
        <f t="shared" si="54"/>
        <v>449.22924</v>
      </c>
      <c r="DF17" s="33">
        <f t="shared" si="64"/>
        <v>409.41753224999997</v>
      </c>
      <c r="DG17" s="2"/>
      <c r="DH17" s="2"/>
      <c r="DI17" s="2">
        <f t="shared" si="14"/>
        <v>88</v>
      </c>
      <c r="DJ17" s="2">
        <f t="shared" si="80"/>
        <v>1556.14</v>
      </c>
      <c r="DK17" s="2">
        <f t="shared" si="16"/>
        <v>1322.7190000000001</v>
      </c>
      <c r="DL17" s="2">
        <f t="shared" si="17"/>
        <v>1991.8592000000001</v>
      </c>
      <c r="DM17" s="1">
        <f t="shared" si="81"/>
        <v>1792.6732800000002</v>
      </c>
      <c r="DN17" s="2">
        <f t="shared" si="18"/>
        <v>11570</v>
      </c>
      <c r="DO17" s="2">
        <f t="shared" si="19"/>
        <v>94</v>
      </c>
      <c r="DP17" s="2">
        <f t="shared" si="20"/>
        <v>2100.0000000000018</v>
      </c>
      <c r="DQ17" s="2">
        <f t="shared" si="21"/>
        <v>95</v>
      </c>
      <c r="DR17" s="2">
        <v>2</v>
      </c>
      <c r="DS17" s="2">
        <f t="shared" si="110"/>
        <v>12280.04949999999</v>
      </c>
      <c r="DT17" s="2">
        <f t="shared" si="111"/>
        <v>13225.14943999999</v>
      </c>
      <c r="DU17" s="41">
        <f t="shared" si="42"/>
        <v>15332.778623999931</v>
      </c>
      <c r="DV17" s="2"/>
      <c r="DW17" s="2"/>
      <c r="DX17" s="2"/>
      <c r="DY17" s="2"/>
      <c r="DZ17" s="2"/>
      <c r="EA17" s="41">
        <f t="shared" si="43"/>
        <v>13608.389999999938</v>
      </c>
      <c r="EB17" s="2"/>
      <c r="EC17" s="2"/>
      <c r="ED17" s="2"/>
      <c r="EE17" s="2"/>
      <c r="EF17" s="2"/>
      <c r="EG17" s="2"/>
      <c r="EH17" s="2"/>
      <c r="EI17" s="2"/>
      <c r="EJ17" s="2">
        <v>51.97</v>
      </c>
      <c r="EK17" s="2"/>
      <c r="EL17" s="2">
        <f t="shared" si="44"/>
        <v>73.019999999999968</v>
      </c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</row>
    <row r="18" spans="1:153" x14ac:dyDescent="0.25">
      <c r="A18" s="28">
        <v>41327</v>
      </c>
      <c r="B18" s="28">
        <v>41333</v>
      </c>
      <c r="C18" s="21" t="s">
        <v>25</v>
      </c>
      <c r="D18" s="2">
        <v>4</v>
      </c>
      <c r="E18" s="21" t="s">
        <v>26</v>
      </c>
      <c r="F18" s="21" t="s">
        <v>27</v>
      </c>
      <c r="G18" s="21" t="s">
        <v>28</v>
      </c>
      <c r="H18" s="21"/>
      <c r="I18" s="21"/>
      <c r="J18">
        <v>46.900000000000006</v>
      </c>
      <c r="K18">
        <f t="shared" si="31"/>
        <v>501</v>
      </c>
      <c r="L18" s="29">
        <v>37.57</v>
      </c>
      <c r="M18" s="2">
        <f t="shared" si="55"/>
        <v>472.82999999999919</v>
      </c>
      <c r="N18" s="29">
        <v>14.67</v>
      </c>
      <c r="O18" s="29">
        <v>1451.15</v>
      </c>
      <c r="P18" s="2"/>
      <c r="Q18" s="2">
        <f t="shared" si="22"/>
        <v>15059.539999999937</v>
      </c>
      <c r="R18" s="30" t="str">
        <f t="shared" si="0"/>
        <v/>
      </c>
      <c r="S18" s="2"/>
      <c r="T18" s="2"/>
      <c r="U18" s="29">
        <v>88</v>
      </c>
      <c r="V18" s="29">
        <v>7.61</v>
      </c>
      <c r="W18" s="29">
        <v>3.8599999999999901</v>
      </c>
      <c r="X18" s="29"/>
      <c r="Y18" s="29"/>
      <c r="Z18" s="2"/>
      <c r="AA18" s="2">
        <v>48</v>
      </c>
      <c r="AB18" s="2">
        <f t="shared" si="32"/>
        <v>425.79999999999995</v>
      </c>
      <c r="AC18" s="2"/>
      <c r="AD18" s="2">
        <v>1700</v>
      </c>
      <c r="AE18" s="2">
        <v>15200</v>
      </c>
      <c r="AF18" s="2">
        <v>6.3</v>
      </c>
      <c r="AG18" s="2">
        <v>95</v>
      </c>
      <c r="AH18" s="2"/>
      <c r="AI18" s="2"/>
      <c r="AJ18" s="30"/>
      <c r="AK18" s="30">
        <v>5.4</v>
      </c>
      <c r="AL18" s="30"/>
      <c r="AM18" s="31">
        <v>0</v>
      </c>
      <c r="AN18" s="32">
        <v>54.810048000000002</v>
      </c>
      <c r="AO18" s="29"/>
      <c r="AP18" s="33">
        <v>80.726081805000021</v>
      </c>
      <c r="AQ18" s="33">
        <v>51.007125945000006</v>
      </c>
      <c r="AR18" s="33">
        <v>460.42465819499995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"/>
      <c r="BE18" s="2"/>
      <c r="BF18" s="2"/>
      <c r="BG18" s="34">
        <v>3</v>
      </c>
      <c r="BH18" s="2"/>
      <c r="BI18" s="33">
        <f t="shared" si="45"/>
        <v>51.007125945000006</v>
      </c>
      <c r="BJ18" s="38">
        <v>42.391361144759522</v>
      </c>
      <c r="BK18" s="46">
        <f t="shared" si="56"/>
        <v>436.85337367240317</v>
      </c>
      <c r="BL18" s="33">
        <v>264.61999999999972</v>
      </c>
      <c r="BM18" s="38"/>
      <c r="BN18" s="1">
        <v>42.3</v>
      </c>
      <c r="BO18" s="1">
        <f t="shared" si="33"/>
        <v>454</v>
      </c>
      <c r="BP18" s="1">
        <v>1</v>
      </c>
      <c r="BQ18" s="2">
        <v>100</v>
      </c>
      <c r="BR18" s="2"/>
      <c r="BS18" s="2"/>
      <c r="BT18" s="2" t="s">
        <v>39</v>
      </c>
      <c r="BU18" s="2">
        <v>80.726081805000021</v>
      </c>
      <c r="BV18" s="2">
        <v>108.24</v>
      </c>
      <c r="BW18" s="2">
        <v>54.12</v>
      </c>
      <c r="BX18" s="2">
        <v>1200</v>
      </c>
      <c r="BY18" s="33">
        <v>-27.513918194999974</v>
      </c>
      <c r="BZ18" s="39">
        <v>50.829433999999999</v>
      </c>
      <c r="CA18" s="2">
        <v>65</v>
      </c>
      <c r="CB18" s="2">
        <v>0</v>
      </c>
      <c r="CC18" s="2">
        <v>3.34</v>
      </c>
      <c r="CD18" s="2"/>
      <c r="CE18" s="33">
        <f t="shared" si="65"/>
        <v>3.8029220549999962</v>
      </c>
      <c r="CF18" s="2"/>
      <c r="CG18" s="2"/>
      <c r="CH18" s="33" t="e">
        <f t="shared" ref="CH18" si="119">#REF!</f>
        <v>#REF!</v>
      </c>
      <c r="CI18" s="33" t="e">
        <f t="shared" ref="CI18" si="120">#REF!</f>
        <v>#REF!</v>
      </c>
      <c r="CJ18" s="33" t="e">
        <f t="shared" ref="CJ18" si="121">#REF!</f>
        <v>#REF!</v>
      </c>
      <c r="CK18" s="33" t="e">
        <f t="shared" ref="CK18" si="122">#REF!</f>
        <v>#REF!</v>
      </c>
      <c r="CL18" s="33" t="e">
        <f t="shared" ref="CL18" si="123">#REF!</f>
        <v>#REF!</v>
      </c>
      <c r="CM18" s="33" t="e">
        <f t="shared" ref="CM18" si="124">#REF!</f>
        <v>#REF!</v>
      </c>
      <c r="CN18" s="33" t="e">
        <f t="shared" ref="CN18" si="125">#REF!</f>
        <v>#REF!</v>
      </c>
      <c r="CO18" s="2"/>
      <c r="CP18" s="35"/>
      <c r="CQ18" s="35"/>
      <c r="CR18" s="2"/>
      <c r="CS18" s="2"/>
      <c r="CT18" s="2">
        <f t="shared" si="8"/>
        <v>37.57</v>
      </c>
      <c r="CU18" s="2">
        <f t="shared" si="9"/>
        <v>42.3</v>
      </c>
      <c r="CV18" s="2">
        <f t="shared" si="10"/>
        <v>48</v>
      </c>
      <c r="CW18" s="2">
        <f t="shared" si="11"/>
        <v>42.391361144759522</v>
      </c>
      <c r="CX18" s="2">
        <f t="shared" si="12"/>
        <v>65</v>
      </c>
      <c r="CY18" s="2">
        <f t="shared" si="13"/>
        <v>50.829433999999999</v>
      </c>
      <c r="CZ18" s="2">
        <f t="shared" si="53"/>
        <v>459.04999999999933</v>
      </c>
      <c r="DA18" s="2">
        <f t="shared" si="53"/>
        <v>433.20000000000005</v>
      </c>
      <c r="DB18" s="2">
        <f t="shared" si="53"/>
        <v>421.20000000000005</v>
      </c>
      <c r="DC18" s="2">
        <f t="shared" si="53"/>
        <v>436.85337367240317</v>
      </c>
      <c r="DD18" s="2"/>
      <c r="DE18" s="2">
        <f t="shared" si="54"/>
        <v>500.058674</v>
      </c>
      <c r="DF18" s="33">
        <f t="shared" si="64"/>
        <v>460.42465819499995</v>
      </c>
      <c r="DG18" s="2"/>
      <c r="DH18" s="2"/>
      <c r="DI18" s="2">
        <f t="shared" si="14"/>
        <v>88</v>
      </c>
      <c r="DJ18" s="2">
        <f t="shared" si="80"/>
        <v>1451.15</v>
      </c>
      <c r="DK18" s="2">
        <f t="shared" si="16"/>
        <v>1233.4775</v>
      </c>
      <c r="DL18" s="2">
        <f t="shared" si="17"/>
        <v>1857.4720000000002</v>
      </c>
      <c r="DM18" s="1">
        <f t="shared" si="81"/>
        <v>1671.7248000000002</v>
      </c>
      <c r="DN18" s="2" t="str">
        <f t="shared" si="18"/>
        <v/>
      </c>
      <c r="DO18" s="2" t="str">
        <f t="shared" si="19"/>
        <v/>
      </c>
      <c r="DP18" s="2">
        <f t="shared" si="20"/>
        <v>1700</v>
      </c>
      <c r="DQ18" s="2">
        <f t="shared" si="21"/>
        <v>95</v>
      </c>
      <c r="DR18" s="2"/>
      <c r="DS18" s="2">
        <f t="shared" si="110"/>
        <v>13513.526999999991</v>
      </c>
      <c r="DT18" s="2">
        <f t="shared" si="111"/>
        <v>14896.87423999999</v>
      </c>
      <c r="DU18" s="2">
        <f t="shared" si="42"/>
        <v>17004.503423999933</v>
      </c>
      <c r="DV18" s="2"/>
      <c r="DW18" s="2"/>
      <c r="DX18" s="2"/>
      <c r="DY18" s="2"/>
      <c r="DZ18" s="2"/>
      <c r="EA18" s="2">
        <f t="shared" si="43"/>
        <v>15059.539999999937</v>
      </c>
      <c r="EB18" s="2"/>
      <c r="EC18" s="2"/>
      <c r="ED18" s="2"/>
      <c r="EE18" s="2"/>
      <c r="EF18" s="2"/>
      <c r="EG18" s="2"/>
      <c r="EH18" s="2"/>
      <c r="EI18" s="2"/>
      <c r="EJ18" s="2">
        <v>47.47</v>
      </c>
      <c r="EK18" s="2"/>
      <c r="EL18" s="2">
        <f t="shared" si="44"/>
        <v>87.689999999999969</v>
      </c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</row>
    <row r="19" spans="1:153" x14ac:dyDescent="0.25">
      <c r="A19" s="28">
        <v>41334</v>
      </c>
      <c r="B19" s="28">
        <v>41340</v>
      </c>
      <c r="C19" s="21" t="s">
        <v>25</v>
      </c>
      <c r="D19" s="2">
        <v>4</v>
      </c>
      <c r="E19" s="21" t="s">
        <v>26</v>
      </c>
      <c r="F19" s="21" t="s">
        <v>27</v>
      </c>
      <c r="G19" s="21" t="s">
        <v>28</v>
      </c>
      <c r="H19" s="21"/>
      <c r="I19" s="21"/>
      <c r="J19">
        <v>37.799999999999997</v>
      </c>
      <c r="K19">
        <f t="shared" si="31"/>
        <v>538.79999999999995</v>
      </c>
      <c r="L19" s="29">
        <v>41.5</v>
      </c>
      <c r="M19" s="2">
        <f>M18+L19</f>
        <v>514.32999999999925</v>
      </c>
      <c r="N19" s="29">
        <v>8.3699999999999903</v>
      </c>
      <c r="O19" s="29">
        <v>1463.48</v>
      </c>
      <c r="P19" s="2"/>
      <c r="Q19" s="2">
        <f>Q18+O19</f>
        <v>16523.019999999939</v>
      </c>
      <c r="R19" s="30" t="e">
        <f t="shared" si="0"/>
        <v>#VALUE!</v>
      </c>
      <c r="S19" s="2"/>
      <c r="T19" s="2"/>
      <c r="U19" s="29">
        <v>88</v>
      </c>
      <c r="V19" s="29">
        <v>7.61</v>
      </c>
      <c r="W19" s="29">
        <v>3.52999999999999</v>
      </c>
      <c r="X19" s="29"/>
      <c r="Y19" s="29"/>
      <c r="Z19" s="2"/>
      <c r="AA19" s="2">
        <v>40.800000000000004</v>
      </c>
      <c r="AB19" s="2">
        <f t="shared" si="32"/>
        <v>466.59999999999997</v>
      </c>
      <c r="AC19" s="2"/>
      <c r="AD19" s="2">
        <v>1600</v>
      </c>
      <c r="AE19" s="2">
        <v>16800</v>
      </c>
      <c r="AF19" s="2">
        <v>8</v>
      </c>
      <c r="AG19" s="2">
        <v>94</v>
      </c>
      <c r="AH19" s="2"/>
      <c r="AI19" s="2"/>
      <c r="AJ19" s="30"/>
      <c r="AK19" s="30">
        <v>5.0999999999999996</v>
      </c>
      <c r="AL19" s="30"/>
      <c r="AM19" s="2">
        <v>0</v>
      </c>
      <c r="AN19" s="33">
        <v>56.413982999999995</v>
      </c>
      <c r="AO19" s="2"/>
      <c r="AP19" s="33">
        <v>85.374097650000039</v>
      </c>
      <c r="AQ19" s="33">
        <v>51.765967154999977</v>
      </c>
      <c r="AR19" s="33">
        <v>512.19062534999989</v>
      </c>
      <c r="AS19" s="2"/>
      <c r="AT19" s="29"/>
      <c r="AU19" s="29">
        <v>16.04</v>
      </c>
      <c r="AV19" s="29"/>
      <c r="AW19" s="29">
        <v>0.97</v>
      </c>
      <c r="AX19" s="29">
        <v>4.96</v>
      </c>
      <c r="AY19" s="29">
        <v>7.25</v>
      </c>
      <c r="AZ19" s="29">
        <v>2.82</v>
      </c>
      <c r="BA19" s="2">
        <v>57.2</v>
      </c>
      <c r="BB19" s="29">
        <v>53.4</v>
      </c>
      <c r="BC19" s="2">
        <v>2.34</v>
      </c>
      <c r="BD19" s="1">
        <v>9.0269999999999992</v>
      </c>
      <c r="BE19" s="2">
        <v>97</v>
      </c>
      <c r="BF19" s="2">
        <v>16040</v>
      </c>
      <c r="BG19" s="34">
        <v>4</v>
      </c>
      <c r="BH19" s="2">
        <v>4470</v>
      </c>
      <c r="BI19" s="33">
        <f t="shared" si="45"/>
        <v>51.765967154999977</v>
      </c>
      <c r="BJ19" s="38">
        <v>33.027700122735808</v>
      </c>
      <c r="BK19" s="46">
        <f t="shared" si="56"/>
        <v>469.88107379513895</v>
      </c>
      <c r="BL19" s="33">
        <v>306.11999999999972</v>
      </c>
      <c r="BM19" s="38"/>
      <c r="BN19" s="1">
        <v>40.299999999999997</v>
      </c>
      <c r="BO19" s="1">
        <f t="shared" si="33"/>
        <v>494.3</v>
      </c>
      <c r="BP19" s="1">
        <v>1</v>
      </c>
      <c r="BQ19" s="2">
        <v>100</v>
      </c>
      <c r="BR19" s="2"/>
      <c r="BS19" s="2"/>
      <c r="BT19" s="2" t="s">
        <v>40</v>
      </c>
      <c r="BU19" s="2">
        <v>85.374097650000039</v>
      </c>
      <c r="BV19" s="2">
        <v>108.24</v>
      </c>
      <c r="BW19" s="2">
        <v>54.12</v>
      </c>
      <c r="BX19" s="2">
        <v>1200</v>
      </c>
      <c r="BY19" s="33">
        <v>-22.865902349999956</v>
      </c>
      <c r="BZ19" s="39">
        <v>50.674849999999992</v>
      </c>
      <c r="CA19" s="2">
        <v>65</v>
      </c>
      <c r="CB19" s="2">
        <v>0</v>
      </c>
      <c r="CC19" s="2"/>
      <c r="CD19" s="2"/>
      <c r="CE19" s="33">
        <f>BY19-BY18</f>
        <v>4.6480158450000175</v>
      </c>
      <c r="CF19" s="2"/>
      <c r="CG19" s="2"/>
      <c r="CH19" s="33" t="e">
        <f t="shared" ref="CH19" si="126">#REF!</f>
        <v>#REF!</v>
      </c>
      <c r="CI19" s="33" t="e">
        <f t="shared" ref="CI19" si="127">#REF!</f>
        <v>#REF!</v>
      </c>
      <c r="CJ19" s="33" t="e">
        <f t="shared" ref="CJ19" si="128">#REF!</f>
        <v>#REF!</v>
      </c>
      <c r="CK19" s="33" t="e">
        <f t="shared" ref="CK19" si="129">#REF!</f>
        <v>#REF!</v>
      </c>
      <c r="CL19" s="33" t="e">
        <f t="shared" ref="CL19" si="130">#REF!</f>
        <v>#REF!</v>
      </c>
      <c r="CM19" s="33" t="e">
        <f t="shared" ref="CM19" si="131">#REF!</f>
        <v>#REF!</v>
      </c>
      <c r="CN19" s="33" t="e">
        <f t="shared" ref="CN19" si="132">#REF!</f>
        <v>#REF!</v>
      </c>
      <c r="CO19" s="2"/>
      <c r="CP19" s="35"/>
      <c r="CQ19" s="35"/>
      <c r="CR19" s="2"/>
      <c r="CS19" s="2"/>
      <c r="CT19" s="2">
        <f t="shared" si="8"/>
        <v>41.5</v>
      </c>
      <c r="CU19" s="2">
        <f t="shared" si="9"/>
        <v>40.299999999999997</v>
      </c>
      <c r="CV19" s="2">
        <f t="shared" si="10"/>
        <v>40.800000000000004</v>
      </c>
      <c r="CW19" s="2">
        <f t="shared" si="11"/>
        <v>33.027700122735808</v>
      </c>
      <c r="CX19" s="2">
        <f t="shared" si="12"/>
        <v>65</v>
      </c>
      <c r="CY19" s="2">
        <f t="shared" si="13"/>
        <v>50.674849999999992</v>
      </c>
      <c r="CZ19" s="2">
        <f>CZ18+CT19</f>
        <v>500.54999999999933</v>
      </c>
      <c r="DA19" s="2">
        <f>DA18+CU19</f>
        <v>473.50000000000006</v>
      </c>
      <c r="DB19" s="2">
        <f>DB18+CV19</f>
        <v>462.00000000000006</v>
      </c>
      <c r="DC19" s="2">
        <f>DC18+CW19</f>
        <v>469.88107379513895</v>
      </c>
      <c r="DD19" s="2"/>
      <c r="DE19" s="2">
        <f>DE18+CY19</f>
        <v>550.73352399999999</v>
      </c>
      <c r="DF19" s="33">
        <f>DF18+BI19</f>
        <v>512.19062534999989</v>
      </c>
      <c r="DG19" s="2"/>
      <c r="DH19" s="2"/>
      <c r="DI19" s="2">
        <f t="shared" si="14"/>
        <v>88</v>
      </c>
      <c r="DJ19" s="2">
        <f t="shared" si="80"/>
        <v>1463.48</v>
      </c>
      <c r="DK19" s="2">
        <f t="shared" si="16"/>
        <v>1243.9580000000001</v>
      </c>
      <c r="DL19" s="2">
        <f t="shared" si="17"/>
        <v>1873.2544</v>
      </c>
      <c r="DM19" s="1">
        <f t="shared" si="81"/>
        <v>1685.92896</v>
      </c>
      <c r="DN19" s="2">
        <f t="shared" si="18"/>
        <v>16040</v>
      </c>
      <c r="DO19" s="2">
        <f t="shared" si="19"/>
        <v>97</v>
      </c>
      <c r="DP19" s="2">
        <f t="shared" si="20"/>
        <v>1600</v>
      </c>
      <c r="DQ19" s="2">
        <f t="shared" si="21"/>
        <v>94</v>
      </c>
      <c r="DR19" s="2">
        <v>3</v>
      </c>
      <c r="DS19" s="2">
        <f>DS18+DK19</f>
        <v>14757.484999999991</v>
      </c>
      <c r="DT19" s="2">
        <f>DT18+DM19</f>
        <v>16582.803199999991</v>
      </c>
      <c r="DU19" s="41">
        <f>DU18+DM19</f>
        <v>18690.432383999934</v>
      </c>
      <c r="DV19" s="2"/>
      <c r="DW19" s="2"/>
      <c r="DX19" s="2"/>
      <c r="DY19" s="2"/>
      <c r="DZ19" s="2"/>
      <c r="EA19" s="41">
        <f>EA18+O19</f>
        <v>16523.019999999939</v>
      </c>
      <c r="EB19" s="2"/>
      <c r="EC19" s="2"/>
      <c r="ED19" s="2"/>
      <c r="EE19" s="2"/>
      <c r="EF19" s="2"/>
      <c r="EG19" s="2"/>
      <c r="EH19" s="2"/>
      <c r="EI19" s="2"/>
      <c r="EJ19" s="2">
        <v>42.39</v>
      </c>
      <c r="EK19" s="2"/>
      <c r="EL19" s="2">
        <f>EL18+N19</f>
        <v>96.05999999999996</v>
      </c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</row>
    <row r="20" spans="1:153" x14ac:dyDescent="0.25">
      <c r="A20" s="28">
        <v>41341</v>
      </c>
      <c r="B20" s="28">
        <v>41347</v>
      </c>
      <c r="C20" s="21" t="s">
        <v>25</v>
      </c>
      <c r="D20" s="2">
        <v>4</v>
      </c>
      <c r="E20" s="21" t="s">
        <v>26</v>
      </c>
      <c r="F20" s="21" t="s">
        <v>27</v>
      </c>
      <c r="G20" s="21" t="s">
        <v>28</v>
      </c>
      <c r="H20" s="21"/>
      <c r="I20" s="21"/>
      <c r="J20">
        <v>30.600000000000009</v>
      </c>
      <c r="K20">
        <f t="shared" si="31"/>
        <v>569.4</v>
      </c>
      <c r="L20" s="29">
        <v>40.149999999999899</v>
      </c>
      <c r="M20" s="2">
        <f t="shared" si="55"/>
        <v>554.47999999999911</v>
      </c>
      <c r="N20" s="29">
        <v>8.81</v>
      </c>
      <c r="O20" s="29">
        <v>1510.97</v>
      </c>
      <c r="P20" s="2"/>
      <c r="Q20" s="2">
        <f t="shared" si="22"/>
        <v>18033.98999999994</v>
      </c>
      <c r="R20" s="30" t="str">
        <f t="shared" ref="R20:R31" si="133">IF(AND($BH20=1,$BH19=0),$BG20,IF($BH20=0,"",O20+R19))</f>
        <v/>
      </c>
      <c r="S20" s="2"/>
      <c r="T20" s="2"/>
      <c r="U20" s="29">
        <v>88</v>
      </c>
      <c r="V20" s="29">
        <v>7.61</v>
      </c>
      <c r="W20" s="29">
        <v>3.75999999999999</v>
      </c>
      <c r="X20" s="29"/>
      <c r="Y20" s="29"/>
      <c r="Z20" s="2"/>
      <c r="AA20" s="2">
        <v>43.399999999999991</v>
      </c>
      <c r="AB20" s="2">
        <f t="shared" si="32"/>
        <v>509.99999999999994</v>
      </c>
      <c r="AC20" s="2"/>
      <c r="AD20" s="2">
        <v>1700</v>
      </c>
      <c r="AE20" s="2">
        <v>18500</v>
      </c>
      <c r="AF20" s="2">
        <v>9.6</v>
      </c>
      <c r="AG20" s="2">
        <v>93</v>
      </c>
      <c r="AH20" s="2"/>
      <c r="AI20" s="2"/>
      <c r="AJ20" s="30"/>
      <c r="AK20" s="30">
        <v>4.5</v>
      </c>
      <c r="AL20" s="30"/>
      <c r="AM20" s="2">
        <v>0</v>
      </c>
      <c r="AN20" s="33">
        <v>49.902018999999996</v>
      </c>
      <c r="AO20" s="2"/>
      <c r="AP20" s="33">
        <v>90.44466039000001</v>
      </c>
      <c r="AQ20" s="33">
        <v>44.831456260000024</v>
      </c>
      <c r="AR20" s="33">
        <v>557.02208160999987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1"/>
      <c r="BE20" s="2"/>
      <c r="BF20" s="2"/>
      <c r="BG20" s="34">
        <v>4</v>
      </c>
      <c r="BH20" s="2"/>
      <c r="BI20" s="33">
        <f t="shared" si="45"/>
        <v>44.831456260000024</v>
      </c>
      <c r="BJ20" s="38">
        <v>36.063429757088535</v>
      </c>
      <c r="BK20" s="46">
        <f t="shared" si="56"/>
        <v>505.9445035522275</v>
      </c>
      <c r="BL20" s="33">
        <v>346.26999999999964</v>
      </c>
      <c r="BM20" s="38"/>
      <c r="BN20" s="1">
        <v>46.6</v>
      </c>
      <c r="BO20" s="1">
        <f t="shared" si="33"/>
        <v>540.9</v>
      </c>
      <c r="BP20" s="1">
        <v>1</v>
      </c>
      <c r="BQ20" s="2">
        <v>100</v>
      </c>
      <c r="BR20" s="2"/>
      <c r="BS20" s="2"/>
      <c r="BT20" s="2" t="s">
        <v>41</v>
      </c>
      <c r="BU20" s="2">
        <v>90.44466039000001</v>
      </c>
      <c r="BV20" s="2">
        <v>108.24</v>
      </c>
      <c r="BW20" s="2">
        <v>54.12</v>
      </c>
      <c r="BX20" s="2">
        <v>1200</v>
      </c>
      <c r="BY20" s="33">
        <v>-17.795339609999985</v>
      </c>
      <c r="BZ20" s="39">
        <v>44.127629999999996</v>
      </c>
      <c r="CA20" s="2">
        <v>65</v>
      </c>
      <c r="CB20" s="2">
        <v>0</v>
      </c>
      <c r="CC20" s="2"/>
      <c r="CD20" s="2"/>
      <c r="CE20" s="33">
        <f t="shared" si="65"/>
        <v>5.0705627399999713</v>
      </c>
      <c r="CF20" s="2"/>
      <c r="CG20" s="2"/>
      <c r="CH20" s="33" t="e">
        <f t="shared" ref="CH20" si="134">#REF!</f>
        <v>#REF!</v>
      </c>
      <c r="CI20" s="33" t="e">
        <f t="shared" ref="CI20" si="135">#REF!</f>
        <v>#REF!</v>
      </c>
      <c r="CJ20" s="33" t="e">
        <f t="shared" ref="CJ20" si="136">#REF!</f>
        <v>#REF!</v>
      </c>
      <c r="CK20" s="33" t="e">
        <f t="shared" ref="CK20" si="137">#REF!</f>
        <v>#REF!</v>
      </c>
      <c r="CL20" s="33" t="e">
        <f t="shared" ref="CL20" si="138">#REF!</f>
        <v>#REF!</v>
      </c>
      <c r="CM20" s="33" t="e">
        <f t="shared" ref="CM20" si="139">#REF!</f>
        <v>#REF!</v>
      </c>
      <c r="CN20" s="33" t="e">
        <f t="shared" ref="CN20" si="140">#REF!</f>
        <v>#REF!</v>
      </c>
      <c r="CO20" s="2"/>
      <c r="CP20" s="35"/>
      <c r="CQ20" s="35"/>
      <c r="CR20" s="2"/>
      <c r="CS20" s="2"/>
      <c r="CT20" s="2">
        <f t="shared" si="8"/>
        <v>40.149999999999899</v>
      </c>
      <c r="CU20" s="2">
        <f t="shared" si="9"/>
        <v>46.6</v>
      </c>
      <c r="CV20" s="2">
        <f t="shared" si="10"/>
        <v>43.399999999999991</v>
      </c>
      <c r="CW20" s="2">
        <f t="shared" si="11"/>
        <v>36.063429757088535</v>
      </c>
      <c r="CX20" s="2">
        <f t="shared" si="12"/>
        <v>65</v>
      </c>
      <c r="CY20" s="2">
        <f t="shared" si="13"/>
        <v>44.127629999999996</v>
      </c>
      <c r="CZ20" s="2">
        <f t="shared" si="53"/>
        <v>540.69999999999925</v>
      </c>
      <c r="DA20" s="2">
        <f t="shared" si="53"/>
        <v>520.1</v>
      </c>
      <c r="DB20" s="2">
        <f t="shared" si="53"/>
        <v>505.40000000000003</v>
      </c>
      <c r="DC20" s="2">
        <f t="shared" si="53"/>
        <v>505.9445035522275</v>
      </c>
      <c r="DD20" s="2"/>
      <c r="DE20" s="2">
        <f t="shared" si="54"/>
        <v>594.86115399999994</v>
      </c>
      <c r="DF20" s="33">
        <f t="shared" si="64"/>
        <v>557.02208160999987</v>
      </c>
      <c r="DG20" s="20"/>
      <c r="DH20" s="20"/>
      <c r="DI20" s="2">
        <f t="shared" si="14"/>
        <v>88</v>
      </c>
      <c r="DJ20" s="2">
        <f t="shared" si="80"/>
        <v>1510.97</v>
      </c>
      <c r="DK20" s="2">
        <f t="shared" si="16"/>
        <v>1284.3244999999999</v>
      </c>
      <c r="DL20" s="2">
        <f t="shared" si="17"/>
        <v>1934.0416</v>
      </c>
      <c r="DM20" s="1">
        <f t="shared" si="81"/>
        <v>1740.63744</v>
      </c>
      <c r="DN20" s="2" t="str">
        <f t="shared" si="18"/>
        <v/>
      </c>
      <c r="DO20" s="2" t="str">
        <f t="shared" si="19"/>
        <v/>
      </c>
      <c r="DP20" s="2">
        <f t="shared" si="20"/>
        <v>1700</v>
      </c>
      <c r="DQ20" s="2">
        <f t="shared" si="21"/>
        <v>93</v>
      </c>
      <c r="DR20" s="2"/>
      <c r="DS20" s="2">
        <f t="shared" si="110"/>
        <v>16041.809499999992</v>
      </c>
      <c r="DT20" s="2">
        <f t="shared" si="111"/>
        <v>18323.44063999999</v>
      </c>
      <c r="DU20" s="2">
        <f t="shared" si="42"/>
        <v>20431.069823999933</v>
      </c>
      <c r="DV20" s="20"/>
      <c r="DW20" s="20"/>
      <c r="DX20" s="20"/>
      <c r="DY20" s="20"/>
      <c r="DZ20" s="20"/>
      <c r="EA20" s="2">
        <f t="shared" si="43"/>
        <v>18033.98999999994</v>
      </c>
      <c r="EB20" s="20"/>
      <c r="EC20" s="20"/>
      <c r="ED20" s="20"/>
      <c r="EE20" s="20"/>
      <c r="EF20" s="20"/>
      <c r="EG20" s="20"/>
      <c r="EH20" s="20"/>
      <c r="EI20" s="20"/>
      <c r="EJ20" s="20">
        <v>36.96</v>
      </c>
      <c r="EK20" s="20"/>
      <c r="EL20" s="2">
        <f t="shared" si="44"/>
        <v>104.86999999999996</v>
      </c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</row>
    <row r="21" spans="1:153" x14ac:dyDescent="0.25">
      <c r="A21" s="28">
        <v>41348</v>
      </c>
      <c r="B21" s="28">
        <v>41354</v>
      </c>
      <c r="C21" s="21" t="s">
        <v>25</v>
      </c>
      <c r="D21" s="2">
        <v>4</v>
      </c>
      <c r="E21" s="21" t="s">
        <v>26</v>
      </c>
      <c r="F21" s="21" t="s">
        <v>27</v>
      </c>
      <c r="G21" s="21" t="s">
        <v>28</v>
      </c>
      <c r="H21" s="21"/>
      <c r="I21" s="21"/>
      <c r="J21">
        <v>23.700000000000003</v>
      </c>
      <c r="K21">
        <f t="shared" si="31"/>
        <v>593.1</v>
      </c>
      <c r="L21" s="29">
        <v>42</v>
      </c>
      <c r="M21" s="2">
        <f t="shared" si="55"/>
        <v>596.47999999999911</v>
      </c>
      <c r="N21" s="29">
        <v>5.66</v>
      </c>
      <c r="O21" s="29">
        <v>1547.73</v>
      </c>
      <c r="P21" s="2"/>
      <c r="Q21" s="2">
        <f t="shared" si="22"/>
        <v>19581.719999999939</v>
      </c>
      <c r="R21" s="30" t="e">
        <f t="shared" si="133"/>
        <v>#VALUE!</v>
      </c>
      <c r="S21" s="2"/>
      <c r="T21" s="2"/>
      <c r="U21" s="29">
        <v>88</v>
      </c>
      <c r="V21" s="29">
        <v>7.61</v>
      </c>
      <c r="W21" s="29">
        <v>3.6899999999999902</v>
      </c>
      <c r="X21" s="29">
        <v>11.87</v>
      </c>
      <c r="Y21" s="29">
        <v>21.83</v>
      </c>
      <c r="Z21" s="2"/>
      <c r="AA21" s="2">
        <v>42.4</v>
      </c>
      <c r="AB21" s="2">
        <f t="shared" si="32"/>
        <v>552.4</v>
      </c>
      <c r="AC21" s="2"/>
      <c r="AD21" s="2">
        <v>1599.9999999999964</v>
      </c>
      <c r="AE21" s="2">
        <v>20099.999999999996</v>
      </c>
      <c r="AF21" s="2">
        <v>11.299999999999999</v>
      </c>
      <c r="AG21" s="2">
        <v>89</v>
      </c>
      <c r="AH21" s="2"/>
      <c r="AI21" s="2"/>
      <c r="AJ21" s="30"/>
      <c r="AK21" s="30">
        <v>3.8</v>
      </c>
      <c r="AL21" s="30"/>
      <c r="AM21" s="2">
        <v>0</v>
      </c>
      <c r="AN21" s="33">
        <v>53.998232000000002</v>
      </c>
      <c r="AO21" s="2"/>
      <c r="AP21" s="33">
        <v>98.473051395000027</v>
      </c>
      <c r="AQ21" s="33">
        <v>45.969840994999984</v>
      </c>
      <c r="AR21" s="33">
        <v>602.9919226049999</v>
      </c>
      <c r="AS21" s="2"/>
      <c r="AT21" s="2"/>
      <c r="AU21" s="29">
        <v>22.47</v>
      </c>
      <c r="AV21" s="2"/>
      <c r="AW21" s="29">
        <v>0.93</v>
      </c>
      <c r="AX21" s="29">
        <v>2.74</v>
      </c>
      <c r="AY21" s="29">
        <v>5.17</v>
      </c>
      <c r="AZ21" s="29">
        <v>2.89</v>
      </c>
      <c r="BA21" s="2">
        <v>271.5</v>
      </c>
      <c r="BB21" s="29">
        <v>46.9</v>
      </c>
      <c r="BC21" s="2">
        <v>2.69</v>
      </c>
      <c r="BD21" s="1">
        <v>13.705</v>
      </c>
      <c r="BE21" s="2">
        <v>93</v>
      </c>
      <c r="BF21" s="2">
        <v>22470</v>
      </c>
      <c r="BG21" s="34">
        <v>5</v>
      </c>
      <c r="BH21" s="2">
        <v>6430</v>
      </c>
      <c r="BI21" s="33">
        <f t="shared" si="45"/>
        <v>45.969840994999984</v>
      </c>
      <c r="BJ21" s="38">
        <v>30.662341119529518</v>
      </c>
      <c r="BK21" s="46">
        <f t="shared" si="56"/>
        <v>536.60684467175702</v>
      </c>
      <c r="BL21" s="33">
        <v>388.26999999999964</v>
      </c>
      <c r="BM21" s="38"/>
      <c r="BN21" s="1">
        <v>35.5</v>
      </c>
      <c r="BO21" s="1">
        <f t="shared" si="33"/>
        <v>576.4</v>
      </c>
      <c r="BP21" s="1">
        <v>1</v>
      </c>
      <c r="BQ21" s="2">
        <v>100</v>
      </c>
      <c r="BR21" s="2"/>
      <c r="BS21" s="2"/>
      <c r="BT21" s="2" t="s">
        <v>42</v>
      </c>
      <c r="BU21" s="2">
        <v>98.473051395000027</v>
      </c>
      <c r="BV21" s="2">
        <v>108.24</v>
      </c>
      <c r="BW21" s="2">
        <v>54.12</v>
      </c>
      <c r="BX21" s="2">
        <v>1200</v>
      </c>
      <c r="BY21" s="33">
        <v>-9.7669486049999676</v>
      </c>
      <c r="BZ21" s="39">
        <v>45.185535999999999</v>
      </c>
      <c r="CA21" s="2">
        <v>50</v>
      </c>
      <c r="CB21" s="2">
        <v>0</v>
      </c>
      <c r="CC21" s="2">
        <v>2.34</v>
      </c>
      <c r="CD21" s="2"/>
      <c r="CE21" s="33">
        <f t="shared" si="65"/>
        <v>8.0283910050000173</v>
      </c>
      <c r="CF21" s="2"/>
      <c r="CG21" s="2"/>
      <c r="CH21" s="33" t="e">
        <f t="shared" ref="CH21" si="141">#REF!</f>
        <v>#REF!</v>
      </c>
      <c r="CI21" s="33" t="e">
        <f t="shared" ref="CI21" si="142">#REF!</f>
        <v>#REF!</v>
      </c>
      <c r="CJ21" s="33" t="e">
        <f t="shared" ref="CJ21" si="143">#REF!</f>
        <v>#REF!</v>
      </c>
      <c r="CK21" s="33" t="e">
        <f t="shared" ref="CK21" si="144">#REF!</f>
        <v>#REF!</v>
      </c>
      <c r="CL21" s="33" t="e">
        <f t="shared" ref="CL21" si="145">#REF!</f>
        <v>#REF!</v>
      </c>
      <c r="CM21" s="33" t="e">
        <f t="shared" ref="CM21" si="146">#REF!</f>
        <v>#REF!</v>
      </c>
      <c r="CN21" s="33" t="e">
        <f t="shared" ref="CN21" si="147">#REF!</f>
        <v>#REF!</v>
      </c>
      <c r="CO21" s="2"/>
      <c r="CP21" s="35"/>
      <c r="CQ21" s="35"/>
      <c r="CR21" s="2"/>
      <c r="CS21" s="2"/>
      <c r="CT21" s="2">
        <f t="shared" si="8"/>
        <v>42</v>
      </c>
      <c r="CU21" s="2">
        <f t="shared" si="9"/>
        <v>35.5</v>
      </c>
      <c r="CV21" s="2">
        <f t="shared" si="10"/>
        <v>42.4</v>
      </c>
      <c r="CW21" s="2">
        <f t="shared" si="11"/>
        <v>30.662341119529518</v>
      </c>
      <c r="CX21" s="2">
        <f t="shared" si="12"/>
        <v>50</v>
      </c>
      <c r="CY21" s="2">
        <f t="shared" si="13"/>
        <v>45.185535999999999</v>
      </c>
      <c r="CZ21" s="2">
        <f t="shared" si="53"/>
        <v>582.69999999999925</v>
      </c>
      <c r="DA21" s="2">
        <f t="shared" si="53"/>
        <v>555.6</v>
      </c>
      <c r="DB21" s="2">
        <f t="shared" si="53"/>
        <v>547.80000000000007</v>
      </c>
      <c r="DC21" s="2">
        <f t="shared" si="53"/>
        <v>536.60684467175702</v>
      </c>
      <c r="DD21" s="2"/>
      <c r="DE21" s="2">
        <f t="shared" si="54"/>
        <v>640.0466899999999</v>
      </c>
      <c r="DF21" s="33">
        <f t="shared" si="64"/>
        <v>602.9919226049999</v>
      </c>
      <c r="DG21" s="2"/>
      <c r="DH21" s="2"/>
      <c r="DI21" s="2">
        <f t="shared" si="14"/>
        <v>88</v>
      </c>
      <c r="DJ21" s="2">
        <f t="shared" si="80"/>
        <v>1547.73</v>
      </c>
      <c r="DK21" s="2">
        <f t="shared" si="16"/>
        <v>1315.5705</v>
      </c>
      <c r="DL21" s="2">
        <f t="shared" si="17"/>
        <v>1981.0944000000002</v>
      </c>
      <c r="DM21" s="1">
        <f t="shared" si="81"/>
        <v>1782.9849600000002</v>
      </c>
      <c r="DN21" s="2">
        <f t="shared" si="18"/>
        <v>22470</v>
      </c>
      <c r="DO21" s="2">
        <f t="shared" si="19"/>
        <v>93</v>
      </c>
      <c r="DP21" s="2">
        <f t="shared" si="20"/>
        <v>1599.9999999999964</v>
      </c>
      <c r="DQ21" s="2">
        <f t="shared" si="21"/>
        <v>89</v>
      </c>
      <c r="DR21" s="2">
        <v>4</v>
      </c>
      <c r="DS21" s="2">
        <f t="shared" si="110"/>
        <v>17357.379999999994</v>
      </c>
      <c r="DT21" s="2">
        <f t="shared" si="111"/>
        <v>20106.425599999991</v>
      </c>
      <c r="DU21" s="41">
        <f t="shared" si="42"/>
        <v>22214.054783999934</v>
      </c>
      <c r="DV21" s="2"/>
      <c r="DW21" s="2"/>
      <c r="DX21" s="2"/>
      <c r="DY21" s="2"/>
      <c r="DZ21" s="2"/>
      <c r="EA21" s="41">
        <f t="shared" si="43"/>
        <v>19581.719999999939</v>
      </c>
      <c r="EB21" s="2"/>
      <c r="EC21" s="2"/>
      <c r="ED21" s="2"/>
      <c r="EE21" s="2"/>
      <c r="EF21" s="2"/>
      <c r="EG21" s="2"/>
      <c r="EH21" s="2"/>
      <c r="EI21" s="2"/>
      <c r="EJ21" s="2">
        <v>31.46</v>
      </c>
      <c r="EK21" s="2"/>
      <c r="EL21" s="2">
        <f t="shared" si="44"/>
        <v>110.52999999999996</v>
      </c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</row>
    <row r="22" spans="1:153" x14ac:dyDescent="0.25">
      <c r="A22" s="28">
        <v>41355</v>
      </c>
      <c r="B22" s="28">
        <v>41361</v>
      </c>
      <c r="C22" s="21" t="s">
        <v>25</v>
      </c>
      <c r="D22" s="2">
        <v>4</v>
      </c>
      <c r="E22" s="21" t="s">
        <v>26</v>
      </c>
      <c r="F22" s="21" t="s">
        <v>27</v>
      </c>
      <c r="G22" s="21" t="s">
        <v>28</v>
      </c>
      <c r="H22" s="21"/>
      <c r="I22" s="21"/>
      <c r="J22">
        <v>14.7</v>
      </c>
      <c r="K22">
        <f t="shared" si="31"/>
        <v>607.80000000000007</v>
      </c>
      <c r="L22" s="29">
        <v>30.829999999999899</v>
      </c>
      <c r="M22" s="2">
        <f t="shared" si="55"/>
        <v>627.30999999999904</v>
      </c>
      <c r="N22" s="29">
        <v>8.7899999999999903</v>
      </c>
      <c r="O22" s="29">
        <v>971.41999999999905</v>
      </c>
      <c r="P22" s="2"/>
      <c r="Q22" s="2">
        <f t="shared" si="22"/>
        <v>20553.139999999938</v>
      </c>
      <c r="R22" s="30" t="str">
        <f t="shared" si="133"/>
        <v/>
      </c>
      <c r="S22" s="2"/>
      <c r="T22" s="2"/>
      <c r="U22" s="29">
        <v>73.999999999999901</v>
      </c>
      <c r="V22" s="29">
        <v>3.04</v>
      </c>
      <c r="W22" s="29">
        <v>3.1499999999999901</v>
      </c>
      <c r="X22" s="29"/>
      <c r="Y22" s="29"/>
      <c r="Z22" s="2"/>
      <c r="AA22" s="2">
        <v>33.4</v>
      </c>
      <c r="AB22" s="2">
        <f t="shared" si="32"/>
        <v>585.79999999999995</v>
      </c>
      <c r="AC22" s="2"/>
      <c r="AD22" s="2">
        <v>1300.0000000000036</v>
      </c>
      <c r="AE22" s="2">
        <v>21400</v>
      </c>
      <c r="AF22" s="2">
        <v>12.6</v>
      </c>
      <c r="AG22" s="2">
        <v>82</v>
      </c>
      <c r="AH22" s="2"/>
      <c r="AI22" s="2"/>
      <c r="AJ22" s="30"/>
      <c r="AK22" s="30">
        <v>2.9</v>
      </c>
      <c r="AL22" s="30"/>
      <c r="AM22" s="2">
        <v>3.8</v>
      </c>
      <c r="AN22" s="33">
        <v>43.733564999999999</v>
      </c>
      <c r="AO22" s="2"/>
      <c r="AP22" s="33">
        <v>106.92398929500001</v>
      </c>
      <c r="AQ22" s="33">
        <v>39.082627100000011</v>
      </c>
      <c r="AR22" s="33">
        <v>642.07454970499987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1"/>
      <c r="BE22" s="2"/>
      <c r="BF22" s="2"/>
      <c r="BG22" s="34">
        <v>5</v>
      </c>
      <c r="BH22" s="2"/>
      <c r="BI22" s="33">
        <f t="shared" si="45"/>
        <v>39.082627100000011</v>
      </c>
      <c r="BJ22" s="38">
        <v>20.020524467342533</v>
      </c>
      <c r="BK22" s="46">
        <f t="shared" si="56"/>
        <v>556.62736913909953</v>
      </c>
      <c r="BL22" s="33">
        <v>419.09999999999957</v>
      </c>
      <c r="BM22" s="38"/>
      <c r="BN22" s="1">
        <v>29.2</v>
      </c>
      <c r="BO22" s="1">
        <f t="shared" si="33"/>
        <v>605.6</v>
      </c>
      <c r="BP22" s="1">
        <v>1</v>
      </c>
      <c r="BQ22" s="2">
        <v>100</v>
      </c>
      <c r="BR22" s="2"/>
      <c r="BS22" s="2"/>
      <c r="BT22" s="2" t="s">
        <v>43</v>
      </c>
      <c r="BU22" s="2">
        <v>106.92398929500001</v>
      </c>
      <c r="BV22" s="2">
        <v>108.24</v>
      </c>
      <c r="BW22" s="2">
        <v>54.12</v>
      </c>
      <c r="BX22" s="2">
        <v>1200</v>
      </c>
      <c r="BY22" s="33">
        <v>-1.3160107049999823</v>
      </c>
      <c r="BZ22" s="39">
        <v>37.893758999999996</v>
      </c>
      <c r="CA22" s="2">
        <v>40</v>
      </c>
      <c r="CB22" s="2">
        <v>0</v>
      </c>
      <c r="CC22" s="2" t="s">
        <v>44</v>
      </c>
      <c r="CD22" s="2"/>
      <c r="CE22" s="33">
        <f t="shared" si="65"/>
        <v>8.4509378999999853</v>
      </c>
      <c r="CF22" s="2"/>
      <c r="CG22" s="2"/>
      <c r="CH22" s="33" t="e">
        <f t="shared" ref="CH22" si="148">#REF!</f>
        <v>#REF!</v>
      </c>
      <c r="CI22" s="33" t="e">
        <f t="shared" ref="CI22" si="149">#REF!</f>
        <v>#REF!</v>
      </c>
      <c r="CJ22" s="33" t="e">
        <f t="shared" ref="CJ22" si="150">#REF!</f>
        <v>#REF!</v>
      </c>
      <c r="CK22" s="33" t="e">
        <f t="shared" ref="CK22" si="151">#REF!</f>
        <v>#REF!</v>
      </c>
      <c r="CL22" s="33" t="e">
        <f t="shared" ref="CL22" si="152">#REF!</f>
        <v>#REF!</v>
      </c>
      <c r="CM22" s="33" t="e">
        <f t="shared" ref="CM22" si="153">#REF!</f>
        <v>#REF!</v>
      </c>
      <c r="CN22" s="33" t="e">
        <f t="shared" ref="CN22" si="154">#REF!</f>
        <v>#REF!</v>
      </c>
      <c r="CO22" s="2"/>
      <c r="CP22" s="35"/>
      <c r="CQ22" s="35"/>
      <c r="CR22" s="2"/>
      <c r="CS22" s="2"/>
      <c r="CT22" s="2">
        <f t="shared" si="8"/>
        <v>30.829999999999899</v>
      </c>
      <c r="CU22" s="2">
        <f t="shared" si="9"/>
        <v>29.2</v>
      </c>
      <c r="CV22" s="2">
        <f t="shared" si="10"/>
        <v>33.4</v>
      </c>
      <c r="CW22" s="2">
        <f t="shared" si="11"/>
        <v>20.020524467342533</v>
      </c>
      <c r="CX22" s="2">
        <f t="shared" si="12"/>
        <v>40</v>
      </c>
      <c r="CY22" s="2">
        <f t="shared" si="13"/>
        <v>37.893758999999996</v>
      </c>
      <c r="CZ22" s="2">
        <f t="shared" si="53"/>
        <v>613.52999999999918</v>
      </c>
      <c r="DA22" s="2">
        <f t="shared" si="53"/>
        <v>584.80000000000007</v>
      </c>
      <c r="DB22" s="2">
        <f t="shared" si="53"/>
        <v>581.20000000000005</v>
      </c>
      <c r="DC22" s="2">
        <f t="shared" si="53"/>
        <v>556.62736913909953</v>
      </c>
      <c r="DD22" s="2"/>
      <c r="DE22" s="2">
        <f t="shared" si="54"/>
        <v>677.94044899999994</v>
      </c>
      <c r="DF22" s="33">
        <f t="shared" si="64"/>
        <v>642.07454970499987</v>
      </c>
      <c r="DG22" s="2"/>
      <c r="DH22" s="2"/>
      <c r="DI22" s="2">
        <f t="shared" si="14"/>
        <v>73.999999999999901</v>
      </c>
      <c r="DJ22" s="2">
        <f t="shared" si="80"/>
        <v>971.41999999999905</v>
      </c>
      <c r="DK22" s="2">
        <f t="shared" si="16"/>
        <v>825.7069999999992</v>
      </c>
      <c r="DL22" s="2">
        <f t="shared" si="17"/>
        <v>1243.4175999999989</v>
      </c>
      <c r="DM22" s="1">
        <f t="shared" si="81"/>
        <v>1119.0758399999991</v>
      </c>
      <c r="DN22" s="2" t="str">
        <f t="shared" si="18"/>
        <v/>
      </c>
      <c r="DO22" s="2" t="str">
        <f t="shared" si="19"/>
        <v/>
      </c>
      <c r="DP22" s="2">
        <f t="shared" si="20"/>
        <v>1300.0000000000036</v>
      </c>
      <c r="DQ22" s="2">
        <f t="shared" si="21"/>
        <v>82</v>
      </c>
      <c r="DR22" s="2"/>
      <c r="DS22" s="2">
        <f t="shared" si="110"/>
        <v>18183.086999999992</v>
      </c>
      <c r="DT22" s="2">
        <f t="shared" si="111"/>
        <v>21225.501439999989</v>
      </c>
      <c r="DU22" s="2">
        <f t="shared" si="42"/>
        <v>23333.130623999932</v>
      </c>
      <c r="DV22" s="2"/>
      <c r="DW22" s="2"/>
      <c r="DX22" s="2"/>
      <c r="DY22" s="2"/>
      <c r="DZ22" s="2"/>
      <c r="EA22" s="2">
        <f t="shared" si="43"/>
        <v>20553.139999999938</v>
      </c>
      <c r="EB22" s="2"/>
      <c r="EC22" s="2"/>
      <c r="ED22" s="2"/>
      <c r="EE22" s="2"/>
      <c r="EF22" s="2"/>
      <c r="EG22" s="2"/>
      <c r="EH22" s="2"/>
      <c r="EI22" s="2"/>
      <c r="EJ22" s="2">
        <v>26.15</v>
      </c>
      <c r="EK22" s="2"/>
      <c r="EL22" s="2">
        <f t="shared" si="44"/>
        <v>119.31999999999995</v>
      </c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</row>
    <row r="23" spans="1:153" x14ac:dyDescent="0.25">
      <c r="A23" s="28">
        <v>41362</v>
      </c>
      <c r="B23" s="28">
        <v>41368</v>
      </c>
      <c r="C23" s="21" t="s">
        <v>25</v>
      </c>
      <c r="D23" s="2">
        <v>4</v>
      </c>
      <c r="E23" s="21" t="s">
        <v>26</v>
      </c>
      <c r="F23" s="21" t="s">
        <v>27</v>
      </c>
      <c r="G23" s="21" t="s">
        <v>28</v>
      </c>
      <c r="H23" s="21"/>
      <c r="I23" s="21"/>
      <c r="J23" s="21"/>
      <c r="K23">
        <f t="shared" si="31"/>
        <v>607.80000000000007</v>
      </c>
      <c r="L23" s="29">
        <v>14.49</v>
      </c>
      <c r="M23" s="2">
        <f t="shared" si="55"/>
        <v>641.79999999999905</v>
      </c>
      <c r="N23" s="29">
        <v>4.9800000000000004</v>
      </c>
      <c r="O23" s="29">
        <v>569.47</v>
      </c>
      <c r="P23" s="2"/>
      <c r="Q23" s="2">
        <f t="shared" si="22"/>
        <v>21122.609999999939</v>
      </c>
      <c r="R23" s="30" t="str">
        <f t="shared" si="133"/>
        <v/>
      </c>
      <c r="S23" s="2"/>
      <c r="T23" s="2"/>
      <c r="U23" s="29">
        <v>73.999999999999901</v>
      </c>
      <c r="V23" s="29">
        <v>3.04</v>
      </c>
      <c r="W23" s="29">
        <v>3.93</v>
      </c>
      <c r="X23" s="29"/>
      <c r="Y23" s="29"/>
      <c r="Z23" s="2"/>
      <c r="AA23" s="2">
        <v>22.599999999999998</v>
      </c>
      <c r="AB23" s="2">
        <f t="shared" si="32"/>
        <v>608.4</v>
      </c>
      <c r="AC23" s="2"/>
      <c r="AD23" s="2">
        <v>800.00000000000364</v>
      </c>
      <c r="AE23" s="2">
        <v>22200.000000000004</v>
      </c>
      <c r="AF23" s="2">
        <v>13.4</v>
      </c>
      <c r="AG23" s="2">
        <v>71</v>
      </c>
      <c r="AH23" s="2"/>
      <c r="AI23" s="2"/>
      <c r="AJ23" s="30"/>
      <c r="AK23" s="30">
        <v>2.2000000000000002</v>
      </c>
      <c r="AL23" s="30"/>
      <c r="AM23" s="2">
        <v>0.6</v>
      </c>
      <c r="AN23" s="33">
        <v>38.807397999999999</v>
      </c>
      <c r="AO23" s="2"/>
      <c r="AP23" s="33">
        <v>125.09350578000002</v>
      </c>
      <c r="AQ23" s="33">
        <v>21.237881514999998</v>
      </c>
      <c r="AR23" s="33">
        <v>663.31243121999989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1"/>
      <c r="BE23" s="2"/>
      <c r="BF23" s="2"/>
      <c r="BG23" s="34">
        <v>5</v>
      </c>
      <c r="BH23" s="2"/>
      <c r="BI23" s="33">
        <f t="shared" si="45"/>
        <v>21.237881514999998</v>
      </c>
      <c r="BJ23" s="38">
        <v>11.966927157410563</v>
      </c>
      <c r="BK23" s="46">
        <f t="shared" si="56"/>
        <v>568.59429629651004</v>
      </c>
      <c r="BL23" s="33">
        <v>433.58999999999958</v>
      </c>
      <c r="BM23" s="38"/>
      <c r="BN23" s="1">
        <v>11.7</v>
      </c>
      <c r="BO23" s="85">
        <f t="shared" si="33"/>
        <v>617.30000000000007</v>
      </c>
      <c r="BP23" s="1">
        <v>1</v>
      </c>
      <c r="BQ23" s="2">
        <v>100</v>
      </c>
      <c r="BR23" s="2"/>
      <c r="BS23" s="2"/>
      <c r="BT23" s="2" t="s">
        <v>45</v>
      </c>
      <c r="BU23" s="2">
        <v>125.09350578000002</v>
      </c>
      <c r="BV23" s="2">
        <v>108.24</v>
      </c>
      <c r="BW23" s="2">
        <v>54.12</v>
      </c>
      <c r="BX23" s="2">
        <v>1200</v>
      </c>
      <c r="BY23" s="33">
        <v>16.85350578000002</v>
      </c>
      <c r="BZ23" s="39">
        <v>20.352656</v>
      </c>
      <c r="CA23" s="2">
        <v>5</v>
      </c>
      <c r="CB23" s="2">
        <v>0</v>
      </c>
      <c r="CC23" s="2">
        <v>2.69</v>
      </c>
      <c r="CD23" s="2"/>
      <c r="CE23" s="33">
        <f t="shared" si="65"/>
        <v>18.169516485000003</v>
      </c>
      <c r="CF23" s="2"/>
      <c r="CG23" s="2"/>
      <c r="CH23" s="33" t="e">
        <f t="shared" ref="CH23" si="155">#REF!</f>
        <v>#REF!</v>
      </c>
      <c r="CI23" s="33" t="e">
        <f t="shared" ref="CI23" si="156">#REF!</f>
        <v>#REF!</v>
      </c>
      <c r="CJ23" s="33" t="e">
        <f t="shared" ref="CJ23" si="157">#REF!</f>
        <v>#REF!</v>
      </c>
      <c r="CK23" s="33" t="e">
        <f t="shared" ref="CK23" si="158">#REF!</f>
        <v>#REF!</v>
      </c>
      <c r="CL23" s="33" t="e">
        <f t="shared" ref="CL23" si="159">#REF!</f>
        <v>#REF!</v>
      </c>
      <c r="CM23" s="33" t="e">
        <f t="shared" ref="CM23" si="160">#REF!</f>
        <v>#REF!</v>
      </c>
      <c r="CN23" s="33" t="e">
        <f t="shared" ref="CN23" si="161">#REF!</f>
        <v>#REF!</v>
      </c>
      <c r="CO23" s="2"/>
      <c r="CP23" s="35"/>
      <c r="CQ23" s="35"/>
      <c r="CR23" s="2"/>
      <c r="CS23" s="2"/>
      <c r="CT23" s="2">
        <f t="shared" si="8"/>
        <v>14.49</v>
      </c>
      <c r="CU23" s="2">
        <f t="shared" si="9"/>
        <v>11.7</v>
      </c>
      <c r="CV23" s="2">
        <f t="shared" si="10"/>
        <v>22.599999999999998</v>
      </c>
      <c r="CW23" s="2">
        <f t="shared" si="11"/>
        <v>11.966927157410563</v>
      </c>
      <c r="CX23" s="2">
        <f t="shared" si="12"/>
        <v>5</v>
      </c>
      <c r="CY23" s="2">
        <f t="shared" si="13"/>
        <v>20.352656</v>
      </c>
      <c r="CZ23" s="2">
        <f t="shared" si="53"/>
        <v>628.01999999999919</v>
      </c>
      <c r="DA23" s="2">
        <f t="shared" si="53"/>
        <v>596.50000000000011</v>
      </c>
      <c r="DB23" s="2">
        <f t="shared" si="53"/>
        <v>603.80000000000007</v>
      </c>
      <c r="DC23" s="2">
        <f t="shared" si="53"/>
        <v>568.59429629651004</v>
      </c>
      <c r="DD23" s="2"/>
      <c r="DE23" s="2">
        <f t="shared" si="54"/>
        <v>698.29310499999997</v>
      </c>
      <c r="DF23" s="33">
        <f t="shared" si="64"/>
        <v>663.31243121999989</v>
      </c>
      <c r="DG23" s="2"/>
      <c r="DH23" s="2"/>
      <c r="DI23" s="2">
        <f t="shared" si="14"/>
        <v>73.999999999999901</v>
      </c>
      <c r="DJ23" s="2">
        <f t="shared" si="80"/>
        <v>569.47</v>
      </c>
      <c r="DK23" s="2">
        <f t="shared" si="16"/>
        <v>484.04950000000002</v>
      </c>
      <c r="DL23" s="2">
        <f t="shared" si="17"/>
        <v>728.92160000000001</v>
      </c>
      <c r="DM23" s="1">
        <f t="shared" si="81"/>
        <v>656.02944000000002</v>
      </c>
      <c r="DN23" s="2" t="str">
        <f t="shared" si="18"/>
        <v/>
      </c>
      <c r="DO23" s="2" t="str">
        <f t="shared" si="19"/>
        <v/>
      </c>
      <c r="DP23" s="2">
        <f t="shared" si="20"/>
        <v>800.00000000000364</v>
      </c>
      <c r="DQ23" s="2">
        <f t="shared" si="21"/>
        <v>71</v>
      </c>
      <c r="DR23" s="2"/>
      <c r="DS23" s="2">
        <f t="shared" si="110"/>
        <v>18667.136499999993</v>
      </c>
      <c r="DT23" s="2">
        <f t="shared" si="111"/>
        <v>21881.530879999988</v>
      </c>
      <c r="DU23" s="2">
        <f t="shared" si="42"/>
        <v>23989.160063999931</v>
      </c>
      <c r="DV23" s="2"/>
      <c r="DW23" s="2"/>
      <c r="DX23" s="2"/>
      <c r="DY23" s="2"/>
      <c r="DZ23" s="2"/>
      <c r="EA23" s="2">
        <f t="shared" si="43"/>
        <v>21122.609999999939</v>
      </c>
      <c r="EB23" s="2"/>
      <c r="EC23" s="2"/>
      <c r="ED23" s="2"/>
      <c r="EE23" s="2"/>
      <c r="EF23" s="2"/>
      <c r="EG23" s="2"/>
      <c r="EH23" s="2"/>
      <c r="EI23" s="2"/>
      <c r="EJ23" s="2">
        <v>21.28</v>
      </c>
      <c r="EK23" s="2"/>
      <c r="EL23" s="2">
        <f t="shared" si="44"/>
        <v>124.29999999999995</v>
      </c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</row>
    <row r="24" spans="1:153" x14ac:dyDescent="0.25">
      <c r="A24" s="28">
        <v>41369</v>
      </c>
      <c r="B24" s="28">
        <v>41375</v>
      </c>
      <c r="C24" s="21" t="s">
        <v>25</v>
      </c>
      <c r="D24" s="2">
        <v>4</v>
      </c>
      <c r="E24" s="21" t="s">
        <v>26</v>
      </c>
      <c r="F24" s="21" t="s">
        <v>27</v>
      </c>
      <c r="G24" s="21" t="s">
        <v>28</v>
      </c>
      <c r="H24" s="21"/>
      <c r="I24" s="21"/>
      <c r="J24" s="21"/>
      <c r="K24">
        <f t="shared" si="31"/>
        <v>607.80000000000007</v>
      </c>
      <c r="L24" s="29">
        <v>22.44</v>
      </c>
      <c r="M24" s="2">
        <f t="shared" si="55"/>
        <v>664.2399999999991</v>
      </c>
      <c r="N24" s="29">
        <v>3.02999999999999</v>
      </c>
      <c r="O24" s="29">
        <v>833.84</v>
      </c>
      <c r="P24" s="2"/>
      <c r="Q24" s="2">
        <f t="shared" si="22"/>
        <v>21956.449999999939</v>
      </c>
      <c r="R24" s="30" t="str">
        <f t="shared" si="133"/>
        <v/>
      </c>
      <c r="S24" s="2"/>
      <c r="T24" s="2"/>
      <c r="U24" s="29">
        <v>63</v>
      </c>
      <c r="V24" s="29">
        <v>2.1</v>
      </c>
      <c r="W24" s="29">
        <v>3.72</v>
      </c>
      <c r="X24" s="29"/>
      <c r="Y24" s="29"/>
      <c r="Z24" s="2"/>
      <c r="AA24" s="2">
        <v>22.9</v>
      </c>
      <c r="AB24" s="2">
        <f t="shared" si="32"/>
        <v>631.29999999999995</v>
      </c>
      <c r="AC24" s="2"/>
      <c r="AD24" s="2">
        <v>599.99999999999272</v>
      </c>
      <c r="AE24" s="2">
        <v>22799.999999999996</v>
      </c>
      <c r="AF24" s="2">
        <v>14</v>
      </c>
      <c r="AG24" s="2">
        <v>65</v>
      </c>
      <c r="AH24" s="2"/>
      <c r="AI24" s="2"/>
      <c r="AJ24" s="30"/>
      <c r="AK24" s="30">
        <v>1.9</v>
      </c>
      <c r="AL24" s="30"/>
      <c r="AM24" s="2">
        <v>0</v>
      </c>
      <c r="AN24" s="33">
        <v>2.0283459999999991</v>
      </c>
      <c r="AO24" s="2"/>
      <c r="AP24" s="33">
        <v>106.92398929500001</v>
      </c>
      <c r="AQ24" s="33">
        <v>20.197862485000002</v>
      </c>
      <c r="AR24" s="33">
        <v>683.51029370499987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1"/>
      <c r="BE24" s="2"/>
      <c r="BF24" s="2"/>
      <c r="BG24" s="34">
        <v>5</v>
      </c>
      <c r="BH24" s="2"/>
      <c r="BI24" s="33">
        <f t="shared" si="45"/>
        <v>20.197862485000002</v>
      </c>
      <c r="BJ24" s="38">
        <v>11.625951810881961</v>
      </c>
      <c r="BK24" s="46">
        <f t="shared" si="56"/>
        <v>580.22024810739197</v>
      </c>
      <c r="BL24" s="33">
        <v>456.02999999999957</v>
      </c>
      <c r="BM24" s="38"/>
      <c r="BN24" s="1"/>
      <c r="BO24" s="1"/>
      <c r="BP24" s="1"/>
      <c r="BQ24" s="2"/>
      <c r="BR24" s="2"/>
      <c r="BS24" s="2"/>
      <c r="BT24" s="2" t="s">
        <v>46</v>
      </c>
      <c r="BU24" s="2">
        <v>106.92398929500001</v>
      </c>
      <c r="BV24" s="2">
        <v>108.24</v>
      </c>
      <c r="BW24" s="2">
        <v>54.12</v>
      </c>
      <c r="BX24" s="2">
        <v>1200</v>
      </c>
      <c r="BY24" s="33">
        <v>-1.3160107049999823</v>
      </c>
      <c r="BZ24" s="39"/>
      <c r="CA24" s="2">
        <v>0</v>
      </c>
      <c r="CB24" s="2">
        <v>0</v>
      </c>
      <c r="CC24" s="2"/>
      <c r="CD24" s="2"/>
      <c r="CE24" s="2"/>
      <c r="CF24" s="2"/>
      <c r="CG24" s="2"/>
      <c r="CH24" s="32">
        <v>15.51</v>
      </c>
      <c r="CI24" s="32">
        <v>55.737142857142864</v>
      </c>
      <c r="CJ24" s="32">
        <v>1.0542857142857143</v>
      </c>
      <c r="CK24" s="32">
        <v>16.767142857142858</v>
      </c>
      <c r="CL24" s="32">
        <v>25.419999999999998</v>
      </c>
      <c r="CM24" s="32">
        <v>0</v>
      </c>
      <c r="CN24" s="32">
        <v>1.2314285714285713</v>
      </c>
      <c r="CO24" s="2"/>
      <c r="CP24" s="35"/>
      <c r="CQ24" s="35"/>
      <c r="CR24" s="2"/>
      <c r="CS24" s="2"/>
      <c r="CT24" s="2">
        <f t="shared" si="8"/>
        <v>22.44</v>
      </c>
      <c r="CU24" s="2">
        <f t="shared" si="9"/>
        <v>0</v>
      </c>
      <c r="CV24" s="2">
        <f t="shared" si="10"/>
        <v>22.9</v>
      </c>
      <c r="CW24" s="2">
        <f t="shared" si="11"/>
        <v>11.625951810881961</v>
      </c>
      <c r="CX24" s="2">
        <v>0</v>
      </c>
      <c r="CY24" s="2">
        <v>0</v>
      </c>
      <c r="CZ24" s="2">
        <f t="shared" si="53"/>
        <v>650.45999999999924</v>
      </c>
      <c r="DA24" s="2">
        <f t="shared" si="53"/>
        <v>596.50000000000011</v>
      </c>
      <c r="DB24" s="2">
        <f t="shared" si="53"/>
        <v>626.70000000000005</v>
      </c>
      <c r="DC24" s="2">
        <f t="shared" si="53"/>
        <v>580.22024810739197</v>
      </c>
      <c r="DD24" s="2"/>
      <c r="DE24" s="2">
        <f t="shared" si="54"/>
        <v>698.29310499999997</v>
      </c>
      <c r="DF24" s="33">
        <f t="shared" si="64"/>
        <v>683.51029370499987</v>
      </c>
      <c r="DG24" s="2"/>
      <c r="DH24" s="2"/>
      <c r="DI24" s="2">
        <f t="shared" si="14"/>
        <v>63</v>
      </c>
      <c r="DJ24" s="2">
        <f t="shared" si="80"/>
        <v>833.84</v>
      </c>
      <c r="DK24" s="2">
        <f t="shared" si="16"/>
        <v>708.76400000000001</v>
      </c>
      <c r="DL24" s="2">
        <f t="shared" si="17"/>
        <v>1067.3152</v>
      </c>
      <c r="DM24" s="1">
        <f t="shared" si="81"/>
        <v>960.58368000000007</v>
      </c>
      <c r="DN24" s="2" t="str">
        <f t="shared" si="18"/>
        <v/>
      </c>
      <c r="DO24" s="2" t="str">
        <f t="shared" si="19"/>
        <v/>
      </c>
      <c r="DP24" s="2">
        <f t="shared" si="20"/>
        <v>599.99999999999272</v>
      </c>
      <c r="DQ24" s="2">
        <f t="shared" si="21"/>
        <v>65</v>
      </c>
      <c r="DR24" s="2"/>
      <c r="DS24" s="2">
        <f t="shared" si="110"/>
        <v>19375.900499999992</v>
      </c>
      <c r="DT24" s="2">
        <f t="shared" si="111"/>
        <v>22842.114559999987</v>
      </c>
      <c r="DU24" s="2">
        <f t="shared" si="42"/>
        <v>24949.74374399993</v>
      </c>
      <c r="DV24" s="2"/>
      <c r="DW24" s="2"/>
      <c r="DX24" s="2"/>
      <c r="DY24" s="2"/>
      <c r="DZ24" s="2"/>
      <c r="EA24" s="2">
        <f t="shared" si="43"/>
        <v>21956.449999999939</v>
      </c>
      <c r="EB24" s="2"/>
      <c r="EC24" s="2"/>
      <c r="ED24" s="2"/>
      <c r="EE24" s="2"/>
      <c r="EF24" s="2"/>
      <c r="EG24" s="2"/>
      <c r="EH24" s="2"/>
      <c r="EI24" s="2"/>
      <c r="EJ24" s="2">
        <v>17.11</v>
      </c>
      <c r="EK24" s="2"/>
      <c r="EL24" s="2">
        <f t="shared" si="44"/>
        <v>127.32999999999994</v>
      </c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</row>
    <row r="25" spans="1:153" x14ac:dyDescent="0.25">
      <c r="A25" s="28">
        <v>41376</v>
      </c>
      <c r="B25" s="28">
        <v>41382</v>
      </c>
      <c r="C25" s="21" t="s">
        <v>25</v>
      </c>
      <c r="D25" s="2">
        <v>4</v>
      </c>
      <c r="E25" s="21" t="s">
        <v>26</v>
      </c>
      <c r="F25" s="21" t="s">
        <v>27</v>
      </c>
      <c r="G25" s="21" t="s">
        <v>28</v>
      </c>
      <c r="H25" s="21"/>
      <c r="I25" s="21"/>
      <c r="J25" s="21"/>
      <c r="K25">
        <f t="shared" si="31"/>
        <v>607.80000000000007</v>
      </c>
      <c r="L25" s="29">
        <v>25.239999999999899</v>
      </c>
      <c r="M25" s="2">
        <f t="shared" si="55"/>
        <v>689.479999999999</v>
      </c>
      <c r="N25" s="29">
        <v>0.39</v>
      </c>
      <c r="O25" s="29">
        <v>923.21</v>
      </c>
      <c r="P25" s="2"/>
      <c r="Q25" s="2">
        <f t="shared" si="22"/>
        <v>22879.659999999938</v>
      </c>
      <c r="R25" s="30" t="str">
        <f t="shared" si="133"/>
        <v/>
      </c>
      <c r="S25" s="2"/>
      <c r="T25" s="2"/>
      <c r="U25" s="29">
        <v>63</v>
      </c>
      <c r="V25" s="29">
        <v>2.1</v>
      </c>
      <c r="W25" s="29">
        <v>3.66</v>
      </c>
      <c r="X25" s="29">
        <v>9.9700000000000006</v>
      </c>
      <c r="Y25" s="29">
        <v>15.34</v>
      </c>
      <c r="Z25" s="2"/>
      <c r="AA25" s="2">
        <v>19</v>
      </c>
      <c r="AB25" s="2">
        <f t="shared" si="32"/>
        <v>650.29999999999995</v>
      </c>
      <c r="AC25" s="2"/>
      <c r="AD25" s="2">
        <v>700.00000000000364</v>
      </c>
      <c r="AE25" s="2">
        <v>23500</v>
      </c>
      <c r="AF25" s="2">
        <v>14.7</v>
      </c>
      <c r="AG25" s="2">
        <v>53</v>
      </c>
      <c r="AH25" s="2"/>
      <c r="AI25" s="2"/>
      <c r="AJ25" s="30"/>
      <c r="AK25" s="30">
        <v>1.2</v>
      </c>
      <c r="AL25" s="30"/>
      <c r="AM25" s="2">
        <v>0</v>
      </c>
      <c r="AN25" s="33"/>
      <c r="AO25" s="2"/>
      <c r="AP25" s="33"/>
      <c r="AQ25" s="33"/>
      <c r="AR25" s="33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1"/>
      <c r="BE25" s="2"/>
      <c r="BF25" s="2"/>
      <c r="BG25" s="34">
        <v>5</v>
      </c>
      <c r="BH25" s="2"/>
      <c r="BI25" s="33"/>
      <c r="BJ25" s="38">
        <v>7.1107781289088265</v>
      </c>
      <c r="BK25" s="46">
        <f t="shared" si="56"/>
        <v>587.33102623630077</v>
      </c>
      <c r="BL25" s="33">
        <v>481.26999999999947</v>
      </c>
      <c r="BM25" s="2"/>
      <c r="BN25" s="1"/>
      <c r="BO25" s="1"/>
      <c r="BP25" s="1"/>
      <c r="BQ25" s="2"/>
      <c r="BR25" s="2"/>
      <c r="BS25" s="2"/>
      <c r="BT25" s="2"/>
      <c r="BU25" s="2"/>
      <c r="BV25" s="2"/>
      <c r="BW25" s="2"/>
      <c r="BX25" s="2"/>
      <c r="BY25" s="33"/>
      <c r="BZ25" s="39"/>
      <c r="CA25" s="2"/>
      <c r="CB25" s="2"/>
      <c r="CC25" s="2"/>
      <c r="CD25" s="2"/>
      <c r="CE25" s="2"/>
      <c r="CF25" s="2"/>
      <c r="CG25" s="2"/>
      <c r="CH25" s="32">
        <v>19.134285714285713</v>
      </c>
      <c r="CI25" s="32">
        <v>55.631428571428572</v>
      </c>
      <c r="CJ25" s="32">
        <v>1.2857142857142858</v>
      </c>
      <c r="CK25" s="32">
        <v>13.659999999999998</v>
      </c>
      <c r="CL25" s="32">
        <v>25.159999999999997</v>
      </c>
      <c r="CM25" s="32">
        <v>0</v>
      </c>
      <c r="CN25" s="32">
        <v>1.4285714285714288</v>
      </c>
      <c r="CO25" s="2"/>
      <c r="CP25" s="35"/>
      <c r="CQ25" s="35"/>
      <c r="CR25" s="2"/>
      <c r="CS25" s="2"/>
      <c r="CT25" s="2">
        <f t="shared" si="8"/>
        <v>25.239999999999899</v>
      </c>
      <c r="CU25" s="2">
        <f t="shared" si="9"/>
        <v>0</v>
      </c>
      <c r="CV25" s="2">
        <f t="shared" si="10"/>
        <v>19</v>
      </c>
      <c r="CW25" s="2">
        <f t="shared" si="11"/>
        <v>7.1107781289088265</v>
      </c>
      <c r="CX25" s="2">
        <v>0</v>
      </c>
      <c r="CY25" s="2">
        <v>0</v>
      </c>
      <c r="CZ25" s="2">
        <f t="shared" ref="CZ25:DC28" si="162">CZ24+CT25</f>
        <v>675.69999999999914</v>
      </c>
      <c r="DA25" s="2">
        <f t="shared" si="162"/>
        <v>596.50000000000011</v>
      </c>
      <c r="DB25" s="2">
        <f t="shared" si="162"/>
        <v>645.70000000000005</v>
      </c>
      <c r="DC25" s="2">
        <f t="shared" si="162"/>
        <v>587.33102623630077</v>
      </c>
      <c r="DD25" s="2"/>
      <c r="DE25" s="2">
        <f t="shared" si="54"/>
        <v>698.29310499999997</v>
      </c>
      <c r="DF25" s="33">
        <f t="shared" si="64"/>
        <v>683.51029370499987</v>
      </c>
      <c r="DG25" s="2"/>
      <c r="DH25" s="2"/>
      <c r="DI25" s="2">
        <f t="shared" si="14"/>
        <v>63</v>
      </c>
      <c r="DJ25" s="2">
        <f t="shared" si="80"/>
        <v>923.21</v>
      </c>
      <c r="DK25" s="2">
        <f t="shared" si="16"/>
        <v>784.72850000000005</v>
      </c>
      <c r="DL25" s="2">
        <f t="shared" si="17"/>
        <v>1181.7088000000001</v>
      </c>
      <c r="DM25" s="1">
        <f t="shared" si="81"/>
        <v>1063.5379200000002</v>
      </c>
      <c r="DN25" s="2" t="str">
        <f t="shared" si="18"/>
        <v/>
      </c>
      <c r="DO25" s="2" t="str">
        <f t="shared" si="19"/>
        <v/>
      </c>
      <c r="DP25" s="2">
        <f t="shared" si="20"/>
        <v>700.00000000000364</v>
      </c>
      <c r="DQ25" s="2">
        <f t="shared" si="21"/>
        <v>53</v>
      </c>
      <c r="DR25" s="2"/>
      <c r="DS25" s="2">
        <f t="shared" si="110"/>
        <v>20160.628999999994</v>
      </c>
      <c r="DT25" s="2">
        <f t="shared" si="111"/>
        <v>23905.652479999986</v>
      </c>
      <c r="DU25" s="2">
        <f t="shared" si="42"/>
        <v>26013.281663999929</v>
      </c>
      <c r="DV25" s="2"/>
      <c r="DW25" s="2"/>
      <c r="DX25" s="2"/>
      <c r="DY25" s="2"/>
      <c r="DZ25" s="2"/>
      <c r="EA25" s="2">
        <f t="shared" si="43"/>
        <v>22879.659999999938</v>
      </c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>
        <f t="shared" si="44"/>
        <v>127.71999999999994</v>
      </c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</row>
    <row r="26" spans="1:153" x14ac:dyDescent="0.25">
      <c r="A26" s="28">
        <v>41383</v>
      </c>
      <c r="B26" s="28">
        <v>41389</v>
      </c>
      <c r="C26" s="21" t="s">
        <v>25</v>
      </c>
      <c r="D26" s="2">
        <v>4</v>
      </c>
      <c r="E26" s="21" t="s">
        <v>26</v>
      </c>
      <c r="F26" s="21" t="s">
        <v>27</v>
      </c>
      <c r="G26" s="21" t="s">
        <v>28</v>
      </c>
      <c r="H26" s="21"/>
      <c r="I26" s="21"/>
      <c r="J26" s="21"/>
      <c r="K26">
        <f t="shared" si="31"/>
        <v>607.80000000000007</v>
      </c>
      <c r="L26" s="29">
        <v>15.4</v>
      </c>
      <c r="M26" s="2">
        <f t="shared" si="55"/>
        <v>704.87999999999897</v>
      </c>
      <c r="N26" s="29">
        <v>0</v>
      </c>
      <c r="O26" s="29">
        <v>388.89999999999901</v>
      </c>
      <c r="P26" s="2"/>
      <c r="Q26" s="2">
        <f t="shared" si="22"/>
        <v>23268.559999999936</v>
      </c>
      <c r="R26" s="30" t="str">
        <f t="shared" si="133"/>
        <v/>
      </c>
      <c r="S26" s="2"/>
      <c r="T26" s="2"/>
      <c r="U26" s="29">
        <v>41.999999999999901</v>
      </c>
      <c r="V26" s="29">
        <v>1.06</v>
      </c>
      <c r="W26" s="29">
        <v>2.52999999999999</v>
      </c>
      <c r="X26" s="29">
        <v>8.35</v>
      </c>
      <c r="Y26" s="29">
        <v>8.81</v>
      </c>
      <c r="Z26" s="2"/>
      <c r="AA26" s="2">
        <v>10.399999999999999</v>
      </c>
      <c r="AB26" s="2">
        <f t="shared" si="32"/>
        <v>660.69999999999993</v>
      </c>
      <c r="AC26" s="2"/>
      <c r="AD26" s="2">
        <v>200</v>
      </c>
      <c r="AE26" s="2">
        <v>23700</v>
      </c>
      <c r="AF26" s="2">
        <v>14.9</v>
      </c>
      <c r="AG26" s="2">
        <v>45</v>
      </c>
      <c r="AH26" s="2"/>
      <c r="AI26" s="2"/>
      <c r="AJ26" s="30"/>
      <c r="AK26" s="30">
        <v>1.1000000000000001</v>
      </c>
      <c r="AL26" s="30"/>
      <c r="AM26" s="2">
        <v>0</v>
      </c>
      <c r="AN26" s="33"/>
      <c r="AO26" s="2"/>
      <c r="AP26" s="33"/>
      <c r="AQ26" s="33"/>
      <c r="AR26" s="33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1"/>
      <c r="BE26" s="2"/>
      <c r="BF26" s="2"/>
      <c r="BG26" s="34">
        <v>5</v>
      </c>
      <c r="BH26" s="2"/>
      <c r="BI26" s="33"/>
      <c r="BJ26" s="38">
        <v>6.8796747860881853</v>
      </c>
      <c r="BK26" s="46">
        <f t="shared" si="56"/>
        <v>594.210701022389</v>
      </c>
      <c r="BL26" s="33">
        <v>496.66999999999945</v>
      </c>
      <c r="BM26" s="2"/>
      <c r="BN26" s="1"/>
      <c r="BO26" s="1"/>
      <c r="BP26" s="1"/>
      <c r="BQ26" s="2"/>
      <c r="BR26" s="2"/>
      <c r="BS26" s="2"/>
      <c r="BT26" s="2"/>
      <c r="BU26" s="2"/>
      <c r="BV26" s="2"/>
      <c r="BW26" s="2"/>
      <c r="BX26" s="2"/>
      <c r="BY26" s="33"/>
      <c r="BZ26" s="39"/>
      <c r="CA26" s="2"/>
      <c r="CB26" s="2"/>
      <c r="CC26" s="2"/>
      <c r="CD26" s="2"/>
      <c r="CE26" s="2"/>
      <c r="CF26" s="2"/>
      <c r="CG26" s="2"/>
      <c r="CH26" s="32">
        <v>13.917142857142858</v>
      </c>
      <c r="CI26" s="32">
        <v>60.752857142857138</v>
      </c>
      <c r="CJ26" s="32">
        <v>0.79999999999999993</v>
      </c>
      <c r="CK26" s="32">
        <v>11.865714285714287</v>
      </c>
      <c r="CL26" s="32">
        <v>17.529999999999998</v>
      </c>
      <c r="CM26" s="32">
        <v>0</v>
      </c>
      <c r="CN26" s="32">
        <v>0.89571428571428569</v>
      </c>
      <c r="CO26" s="2"/>
      <c r="CP26" s="35"/>
      <c r="CQ26" s="35"/>
      <c r="CR26" s="2"/>
      <c r="CS26" s="2"/>
      <c r="CT26" s="2">
        <f t="shared" si="8"/>
        <v>15.4</v>
      </c>
      <c r="CU26" s="2">
        <f t="shared" si="9"/>
        <v>0</v>
      </c>
      <c r="CV26" s="2">
        <f t="shared" si="10"/>
        <v>10.399999999999999</v>
      </c>
      <c r="CW26" s="2">
        <f t="shared" si="11"/>
        <v>6.8796747860881853</v>
      </c>
      <c r="CX26" s="2">
        <v>0</v>
      </c>
      <c r="CY26" s="2">
        <v>0</v>
      </c>
      <c r="CZ26" s="2">
        <f t="shared" si="162"/>
        <v>691.09999999999911</v>
      </c>
      <c r="DA26" s="2">
        <f t="shared" si="162"/>
        <v>596.50000000000011</v>
      </c>
      <c r="DB26" s="2">
        <f t="shared" si="162"/>
        <v>656.1</v>
      </c>
      <c r="DC26" s="2">
        <f t="shared" si="162"/>
        <v>594.210701022389</v>
      </c>
      <c r="DD26" s="2"/>
      <c r="DE26" s="2">
        <f t="shared" si="54"/>
        <v>698.29310499999997</v>
      </c>
      <c r="DF26" s="33">
        <f t="shared" si="64"/>
        <v>683.51029370499987</v>
      </c>
      <c r="DG26" s="2"/>
      <c r="DH26" s="2"/>
      <c r="DI26" s="2">
        <f t="shared" si="14"/>
        <v>41.999999999999901</v>
      </c>
      <c r="DJ26" s="2">
        <f t="shared" si="80"/>
        <v>388.89999999999901</v>
      </c>
      <c r="DK26" s="2">
        <f t="shared" si="16"/>
        <v>330.56499999999915</v>
      </c>
      <c r="DL26" s="2">
        <f t="shared" si="17"/>
        <v>497.79199999999872</v>
      </c>
      <c r="DM26" s="1">
        <f t="shared" si="81"/>
        <v>448.01279999999883</v>
      </c>
      <c r="DN26" s="2" t="str">
        <f t="shared" si="18"/>
        <v/>
      </c>
      <c r="DO26" s="2" t="str">
        <f t="shared" si="19"/>
        <v/>
      </c>
      <c r="DP26" s="2">
        <f t="shared" si="20"/>
        <v>200</v>
      </c>
      <c r="DQ26" s="2">
        <f t="shared" si="21"/>
        <v>45</v>
      </c>
      <c r="DR26" s="2"/>
      <c r="DS26" s="2">
        <f t="shared" si="110"/>
        <v>20491.193999999992</v>
      </c>
      <c r="DT26" s="2">
        <f t="shared" si="111"/>
        <v>24353.665279999987</v>
      </c>
      <c r="DU26" s="2">
        <f t="shared" si="42"/>
        <v>26461.29446399993</v>
      </c>
      <c r="DV26" s="2"/>
      <c r="DW26" s="2"/>
      <c r="DX26" s="2"/>
      <c r="DY26" s="2"/>
      <c r="DZ26" s="2"/>
      <c r="EA26" s="2">
        <f t="shared" si="43"/>
        <v>23268.559999999936</v>
      </c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>
        <f t="shared" si="44"/>
        <v>127.71999999999994</v>
      </c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</row>
    <row r="27" spans="1:153" x14ac:dyDescent="0.25">
      <c r="A27" s="28">
        <v>41390</v>
      </c>
      <c r="B27" s="28">
        <v>41396</v>
      </c>
      <c r="C27" s="21" t="s">
        <v>25</v>
      </c>
      <c r="D27" s="2">
        <v>4</v>
      </c>
      <c r="E27" s="21" t="s">
        <v>26</v>
      </c>
      <c r="F27" s="21" t="s">
        <v>27</v>
      </c>
      <c r="G27" s="21" t="s">
        <v>28</v>
      </c>
      <c r="H27" s="21"/>
      <c r="I27" s="21"/>
      <c r="J27" s="21"/>
      <c r="K27">
        <f t="shared" si="31"/>
        <v>607.80000000000007</v>
      </c>
      <c r="L27" s="29">
        <v>9.1300000000000008</v>
      </c>
      <c r="M27" s="2">
        <f t="shared" si="55"/>
        <v>714.00999999999897</v>
      </c>
      <c r="N27" s="29">
        <v>4.87</v>
      </c>
      <c r="O27" s="29">
        <v>230.479999999999</v>
      </c>
      <c r="P27" s="2"/>
      <c r="Q27" s="2">
        <f t="shared" si="22"/>
        <v>23499.039999999935</v>
      </c>
      <c r="R27" s="30" t="e">
        <f t="shared" si="133"/>
        <v>#VALUE!</v>
      </c>
      <c r="S27" s="2"/>
      <c r="T27" s="2"/>
      <c r="U27" s="29">
        <v>28.000000000000004</v>
      </c>
      <c r="V27" s="29">
        <v>0.62</v>
      </c>
      <c r="W27" s="29">
        <v>2.52</v>
      </c>
      <c r="X27" s="29">
        <v>5.88</v>
      </c>
      <c r="Y27" s="29">
        <v>5.88</v>
      </c>
      <c r="Z27" s="2"/>
      <c r="AA27" s="2">
        <v>7.4</v>
      </c>
      <c r="AB27" s="37">
        <f t="shared" si="32"/>
        <v>668.09999999999991</v>
      </c>
      <c r="AC27" s="2"/>
      <c r="AD27" s="2">
        <v>200</v>
      </c>
      <c r="AE27" s="2">
        <v>23900</v>
      </c>
      <c r="AF27" s="2">
        <v>15.1</v>
      </c>
      <c r="AG27" s="2">
        <v>33</v>
      </c>
      <c r="AH27" s="2"/>
      <c r="AI27" s="2"/>
      <c r="AJ27" s="30"/>
      <c r="AK27" s="30">
        <v>0.7</v>
      </c>
      <c r="AL27" s="30"/>
      <c r="AM27" s="2">
        <v>0</v>
      </c>
      <c r="AN27" s="33"/>
      <c r="AO27" s="2"/>
      <c r="AP27" s="33"/>
      <c r="AQ27" s="33"/>
      <c r="AR27" s="33"/>
      <c r="AS27" s="2"/>
      <c r="AT27" s="2"/>
      <c r="AU27" s="29">
        <v>25.06</v>
      </c>
      <c r="AV27" s="2"/>
      <c r="AW27" s="2"/>
      <c r="AX27" s="2"/>
      <c r="AY27" s="2"/>
      <c r="AZ27" s="2">
        <v>2.92</v>
      </c>
      <c r="BA27" s="2"/>
      <c r="BB27" s="2"/>
      <c r="BC27" s="2"/>
      <c r="BD27" s="42">
        <v>14.26</v>
      </c>
      <c r="BE27" s="29"/>
      <c r="BF27" s="2">
        <v>25060</v>
      </c>
      <c r="BG27" s="34">
        <v>6</v>
      </c>
      <c r="BH27" s="29">
        <v>2590</v>
      </c>
      <c r="BI27" s="33"/>
      <c r="BJ27" s="38">
        <v>6.412643668036325</v>
      </c>
      <c r="BK27" s="46">
        <f t="shared" si="56"/>
        <v>600.62334469042537</v>
      </c>
      <c r="BL27" s="33">
        <v>505.79999999999944</v>
      </c>
      <c r="BM27" s="2"/>
      <c r="BN27" s="1"/>
      <c r="BO27" s="1"/>
      <c r="BP27" s="1"/>
      <c r="BQ27" s="2"/>
      <c r="BR27" s="2"/>
      <c r="BS27" s="2"/>
      <c r="BT27" s="2"/>
      <c r="BU27" s="2"/>
      <c r="BV27" s="2"/>
      <c r="BW27" s="2"/>
      <c r="BX27" s="2"/>
      <c r="BY27" s="33"/>
      <c r="BZ27" s="39"/>
      <c r="CA27" s="2"/>
      <c r="CB27" s="2"/>
      <c r="CC27" s="2"/>
      <c r="CD27" s="2"/>
      <c r="CE27" s="2"/>
      <c r="CF27" s="2"/>
      <c r="CG27" s="2"/>
      <c r="CH27" s="32">
        <v>16.511428571428574</v>
      </c>
      <c r="CI27" s="32">
        <v>52.027142857142849</v>
      </c>
      <c r="CJ27" s="32">
        <v>1.3057142857142858</v>
      </c>
      <c r="CK27" s="32">
        <v>12.680000000000001</v>
      </c>
      <c r="CL27" s="32">
        <v>21.089999999999996</v>
      </c>
      <c r="CM27" s="32">
        <v>0</v>
      </c>
      <c r="CN27" s="32">
        <v>0.80142857142857138</v>
      </c>
      <c r="CO27" s="2"/>
      <c r="CP27" s="35"/>
      <c r="CQ27" s="35"/>
      <c r="CR27" s="2"/>
      <c r="CS27" s="2"/>
      <c r="CT27" s="2">
        <f t="shared" si="8"/>
        <v>9.1300000000000008</v>
      </c>
      <c r="CU27" s="2">
        <f t="shared" si="9"/>
        <v>0</v>
      </c>
      <c r="CV27" s="2">
        <f t="shared" si="10"/>
        <v>7.4</v>
      </c>
      <c r="CW27" s="2">
        <f t="shared" si="11"/>
        <v>6.412643668036325</v>
      </c>
      <c r="CX27" s="2">
        <v>0</v>
      </c>
      <c r="CY27" s="2">
        <v>0</v>
      </c>
      <c r="CZ27" s="2">
        <f t="shared" si="162"/>
        <v>700.22999999999911</v>
      </c>
      <c r="DA27" s="2">
        <f t="shared" si="162"/>
        <v>596.50000000000011</v>
      </c>
      <c r="DB27" s="2">
        <f t="shared" si="162"/>
        <v>663.5</v>
      </c>
      <c r="DC27" s="2">
        <f t="shared" si="162"/>
        <v>600.62334469042537</v>
      </c>
      <c r="DD27" s="2"/>
      <c r="DE27" s="2">
        <f t="shared" si="54"/>
        <v>698.29310499999997</v>
      </c>
      <c r="DF27" s="33">
        <f t="shared" si="64"/>
        <v>683.51029370499987</v>
      </c>
      <c r="DG27" s="2"/>
      <c r="DH27" s="2"/>
      <c r="DI27" s="2">
        <f t="shared" si="14"/>
        <v>28.000000000000004</v>
      </c>
      <c r="DJ27" s="2">
        <f t="shared" si="80"/>
        <v>230.479999999999</v>
      </c>
      <c r="DK27" s="2">
        <f t="shared" si="16"/>
        <v>195.90799999999913</v>
      </c>
      <c r="DL27" s="2">
        <f t="shared" si="17"/>
        <v>295.01439999999872</v>
      </c>
      <c r="DM27" s="1">
        <f t="shared" si="81"/>
        <v>265.51295999999883</v>
      </c>
      <c r="DN27" s="2">
        <f t="shared" si="18"/>
        <v>25060</v>
      </c>
      <c r="DO27" s="2" t="str">
        <f t="shared" si="19"/>
        <v/>
      </c>
      <c r="DP27" s="2">
        <f t="shared" si="20"/>
        <v>200</v>
      </c>
      <c r="DQ27" s="2">
        <f t="shared" si="21"/>
        <v>33</v>
      </c>
      <c r="DR27" s="2">
        <v>5</v>
      </c>
      <c r="DS27" s="2">
        <f t="shared" si="110"/>
        <v>20687.101999999992</v>
      </c>
      <c r="DT27" s="2">
        <f t="shared" si="111"/>
        <v>24619.178239999987</v>
      </c>
      <c r="DU27" s="41">
        <f t="shared" si="42"/>
        <v>26726.80742399993</v>
      </c>
      <c r="DV27" s="2"/>
      <c r="DW27" s="2"/>
      <c r="DX27" s="2"/>
      <c r="DY27" s="2"/>
      <c r="DZ27" s="2"/>
      <c r="EA27" s="41">
        <f t="shared" si="43"/>
        <v>23499.039999999935</v>
      </c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>
        <f t="shared" si="44"/>
        <v>132.58999999999995</v>
      </c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</row>
    <row r="28" spans="1:153" x14ac:dyDescent="0.25">
      <c r="A28" s="28">
        <v>41397</v>
      </c>
      <c r="B28" s="28">
        <v>41403</v>
      </c>
      <c r="C28" s="21" t="s">
        <v>25</v>
      </c>
      <c r="D28" s="2">
        <v>4</v>
      </c>
      <c r="E28" s="2" t="s">
        <v>26</v>
      </c>
      <c r="F28" s="21" t="s">
        <v>27</v>
      </c>
      <c r="G28" s="21" t="s">
        <v>28</v>
      </c>
      <c r="H28" s="21"/>
      <c r="I28" s="21"/>
      <c r="J28" s="21"/>
      <c r="K28">
        <f t="shared" si="31"/>
        <v>607.80000000000007</v>
      </c>
      <c r="L28" s="29">
        <v>13.92</v>
      </c>
      <c r="M28" s="91">
        <f t="shared" si="55"/>
        <v>727.92999999999893</v>
      </c>
      <c r="N28" s="29">
        <v>0</v>
      </c>
      <c r="O28" s="29">
        <v>287.33999999999901</v>
      </c>
      <c r="P28" s="2"/>
      <c r="Q28" s="2">
        <f t="shared" si="22"/>
        <v>23786.379999999936</v>
      </c>
      <c r="R28" s="30" t="str">
        <f t="shared" si="133"/>
        <v/>
      </c>
      <c r="S28" s="2"/>
      <c r="T28" s="2"/>
      <c r="U28" s="29">
        <v>28.000000000000004</v>
      </c>
      <c r="V28" s="29">
        <v>0.62</v>
      </c>
      <c r="W28" s="29">
        <v>2.06</v>
      </c>
      <c r="X28" s="29">
        <v>5.65</v>
      </c>
      <c r="Y28" s="29">
        <v>5.65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30"/>
      <c r="AK28" s="30"/>
      <c r="AL28" s="30"/>
      <c r="AM28" s="2">
        <v>0</v>
      </c>
      <c r="AN28" s="33"/>
      <c r="AO28" s="2"/>
      <c r="AP28" s="33"/>
      <c r="AQ28" s="33"/>
      <c r="AR28" s="33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1"/>
      <c r="BE28" s="2"/>
      <c r="BF28" s="2"/>
      <c r="BG28" s="34">
        <v>6</v>
      </c>
      <c r="BH28" s="2"/>
      <c r="BI28" s="33"/>
      <c r="BJ28" s="38">
        <v>3.8767455559639061</v>
      </c>
      <c r="BK28" s="46">
        <f t="shared" si="56"/>
        <v>604.50009024638928</v>
      </c>
      <c r="BL28" s="33">
        <v>519.71999999999946</v>
      </c>
      <c r="BM28" s="29"/>
      <c r="BN28" s="42"/>
      <c r="BO28" s="1"/>
      <c r="BP28" s="42"/>
      <c r="BQ28" s="29"/>
      <c r="BR28" s="29"/>
      <c r="BS28" s="29"/>
      <c r="BT28" s="29"/>
      <c r="BU28" s="29"/>
      <c r="BV28" s="29"/>
      <c r="BW28" s="29"/>
      <c r="BX28" s="29"/>
      <c r="BY28" s="32"/>
      <c r="BZ28" s="43"/>
      <c r="CA28" s="29"/>
      <c r="CB28" s="29"/>
      <c r="CC28" s="44"/>
      <c r="CD28" s="29"/>
      <c r="CE28" s="29"/>
      <c r="CF28" s="29"/>
      <c r="CG28" s="29"/>
      <c r="CH28" s="32">
        <v>11.912857142857144</v>
      </c>
      <c r="CI28" s="32">
        <v>50.888571428571424</v>
      </c>
      <c r="CJ28" s="32">
        <v>1.06</v>
      </c>
      <c r="CK28" s="32">
        <v>13.141428571428573</v>
      </c>
      <c r="CL28" s="32">
        <v>21.32</v>
      </c>
      <c r="CM28" s="32">
        <v>0</v>
      </c>
      <c r="CN28" s="32">
        <v>1.5757142857142858</v>
      </c>
      <c r="CO28" s="2"/>
      <c r="CP28" s="35"/>
      <c r="CQ28" s="35"/>
      <c r="CR28" s="2"/>
      <c r="CS28" s="2"/>
      <c r="CT28" s="2">
        <f t="shared" si="8"/>
        <v>13.92</v>
      </c>
      <c r="CU28" s="2">
        <f t="shared" si="9"/>
        <v>0</v>
      </c>
      <c r="CV28" s="2">
        <f t="shared" si="10"/>
        <v>0</v>
      </c>
      <c r="CW28" s="2">
        <f t="shared" si="11"/>
        <v>3.8767455559639061</v>
      </c>
      <c r="CX28" s="2">
        <v>0</v>
      </c>
      <c r="CY28" s="2">
        <v>0</v>
      </c>
      <c r="CZ28" s="45">
        <f t="shared" si="162"/>
        <v>714.14999999999907</v>
      </c>
      <c r="DA28" s="45">
        <f t="shared" si="162"/>
        <v>596.50000000000011</v>
      </c>
      <c r="DB28" s="45">
        <f t="shared" si="162"/>
        <v>663.5</v>
      </c>
      <c r="DC28" s="45">
        <f t="shared" si="162"/>
        <v>604.50009024638928</v>
      </c>
      <c r="DD28" s="45"/>
      <c r="DE28" s="45">
        <f t="shared" si="54"/>
        <v>698.29310499999997</v>
      </c>
      <c r="DF28" s="33">
        <f t="shared" si="64"/>
        <v>683.51029370499987</v>
      </c>
      <c r="DG28" s="2"/>
      <c r="DH28" s="2"/>
      <c r="DI28" s="2">
        <f t="shared" si="14"/>
        <v>28.000000000000004</v>
      </c>
      <c r="DJ28" s="2">
        <f t="shared" si="80"/>
        <v>287.33999999999901</v>
      </c>
      <c r="DK28" s="2">
        <f t="shared" si="16"/>
        <v>244.23899999999915</v>
      </c>
      <c r="DL28" s="2">
        <f t="shared" si="17"/>
        <v>367.79519999999872</v>
      </c>
      <c r="DM28" s="1">
        <f t="shared" si="81"/>
        <v>331.01567999999884</v>
      </c>
      <c r="DN28" s="2" t="str">
        <f t="shared" si="18"/>
        <v/>
      </c>
      <c r="DO28" s="2" t="str">
        <f t="shared" si="19"/>
        <v/>
      </c>
      <c r="DP28" s="2">
        <f t="shared" si="20"/>
        <v>0</v>
      </c>
      <c r="DQ28" s="2">
        <f t="shared" si="21"/>
        <v>0</v>
      </c>
      <c r="DR28" s="2"/>
      <c r="DS28" s="2">
        <f t="shared" si="110"/>
        <v>20931.340999999989</v>
      </c>
      <c r="DT28" s="2">
        <f t="shared" si="111"/>
        <v>24950.193919999987</v>
      </c>
      <c r="DU28" s="2">
        <f t="shared" si="42"/>
        <v>27057.82310399993</v>
      </c>
      <c r="DV28" s="2"/>
      <c r="DW28" s="2"/>
      <c r="DX28" s="2"/>
      <c r="DY28" s="2"/>
      <c r="DZ28" s="2"/>
      <c r="EA28" s="2">
        <f t="shared" si="43"/>
        <v>23786.379999999936</v>
      </c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>
        <f t="shared" si="44"/>
        <v>132.58999999999995</v>
      </c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</row>
    <row r="29" spans="1:153" x14ac:dyDescent="0.25">
      <c r="A29" s="28">
        <v>41404</v>
      </c>
      <c r="B29" s="28">
        <v>41410</v>
      </c>
      <c r="C29" s="21" t="s">
        <v>25</v>
      </c>
      <c r="D29" s="2">
        <v>4</v>
      </c>
      <c r="E29" s="2" t="s">
        <v>26</v>
      </c>
      <c r="F29" s="21" t="s">
        <v>27</v>
      </c>
      <c r="G29" s="21" t="s">
        <v>28</v>
      </c>
      <c r="H29" s="21"/>
      <c r="I29" s="21"/>
      <c r="J29" s="21"/>
      <c r="K29">
        <f t="shared" si="31"/>
        <v>607.80000000000007</v>
      </c>
      <c r="L29" s="29">
        <v>7.5199999999999898</v>
      </c>
      <c r="M29" s="2">
        <f t="shared" si="55"/>
        <v>735.44999999999891</v>
      </c>
      <c r="N29" s="29">
        <v>1.6599999999999899</v>
      </c>
      <c r="O29" s="29">
        <v>190.36</v>
      </c>
      <c r="P29" s="2"/>
      <c r="Q29" s="2">
        <f t="shared" si="22"/>
        <v>23976.739999999936</v>
      </c>
      <c r="R29" s="30" t="str">
        <f t="shared" si="133"/>
        <v/>
      </c>
      <c r="S29" s="2"/>
      <c r="T29" s="2"/>
      <c r="U29" s="29">
        <v>23.999999999999901</v>
      </c>
      <c r="V29" s="29">
        <v>0.51</v>
      </c>
      <c r="W29" s="29">
        <v>2.52999999999999</v>
      </c>
      <c r="X29" s="29"/>
      <c r="Y29" s="29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30"/>
      <c r="AK29" s="30"/>
      <c r="AL29" s="30"/>
      <c r="AM29" s="2">
        <v>0</v>
      </c>
      <c r="AN29" s="33"/>
      <c r="AO29" s="2"/>
      <c r="AP29" s="33"/>
      <c r="AQ29" s="33"/>
      <c r="AR29" s="33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1"/>
      <c r="BE29" s="2"/>
      <c r="BF29" s="2"/>
      <c r="BG29" s="34">
        <v>6</v>
      </c>
      <c r="BH29" s="2"/>
      <c r="BI29" s="2"/>
      <c r="BJ29" s="29"/>
      <c r="BK29" s="46">
        <f t="shared" si="56"/>
        <v>604.50009024638928</v>
      </c>
      <c r="BL29" s="29"/>
      <c r="BM29" s="29"/>
      <c r="BN29" s="42"/>
      <c r="BO29" s="1"/>
      <c r="BP29" s="42"/>
      <c r="BQ29" s="29"/>
      <c r="BR29" s="29"/>
      <c r="BS29" s="29"/>
      <c r="BT29" s="29"/>
      <c r="BU29" s="29"/>
      <c r="BV29" s="29"/>
      <c r="BW29" s="29"/>
      <c r="BX29" s="29"/>
      <c r="BY29" s="32"/>
      <c r="BZ29" s="43"/>
      <c r="CA29" s="29"/>
      <c r="CB29" s="29"/>
      <c r="CC29" s="44"/>
      <c r="CD29" s="29"/>
      <c r="CE29" s="29"/>
      <c r="CF29" s="29"/>
      <c r="CG29" s="29"/>
      <c r="CH29" s="32">
        <v>12.858571428571427</v>
      </c>
      <c r="CI29" s="32">
        <v>51.79</v>
      </c>
      <c r="CJ29" s="32">
        <v>1.0457142857142858</v>
      </c>
      <c r="CK29" s="32">
        <v>11.762857142857143</v>
      </c>
      <c r="CL29" s="32">
        <v>18.54</v>
      </c>
      <c r="CM29" s="32">
        <v>0</v>
      </c>
      <c r="CN29" s="32">
        <v>1.2842857142857143</v>
      </c>
      <c r="CO29" s="2"/>
      <c r="CP29" s="35"/>
      <c r="CQ29" s="35"/>
      <c r="CR29" s="2"/>
      <c r="CS29" s="2"/>
      <c r="CT29" s="2">
        <f t="shared" si="8"/>
        <v>7.5199999999999898</v>
      </c>
      <c r="CU29" s="2">
        <f t="shared" si="9"/>
        <v>0</v>
      </c>
      <c r="CV29" s="2">
        <f t="shared" si="10"/>
        <v>0</v>
      </c>
      <c r="CW29" s="2"/>
      <c r="CX29" s="2">
        <v>0</v>
      </c>
      <c r="CY29" s="2">
        <v>0</v>
      </c>
      <c r="CZ29" s="2"/>
      <c r="DA29" s="2"/>
      <c r="DB29" s="2"/>
      <c r="DC29" s="2"/>
      <c r="DD29" s="2"/>
      <c r="DE29" s="2"/>
      <c r="DF29" s="2"/>
      <c r="DG29" s="2"/>
      <c r="DH29" s="2"/>
      <c r="DI29" s="2">
        <f t="shared" si="14"/>
        <v>23.999999999999901</v>
      </c>
      <c r="DJ29" s="2">
        <f t="shared" si="80"/>
        <v>190.36</v>
      </c>
      <c r="DK29" s="2">
        <f t="shared" si="16"/>
        <v>161.80600000000001</v>
      </c>
      <c r="DL29" s="2">
        <f t="shared" si="17"/>
        <v>243.66080000000002</v>
      </c>
      <c r="DM29" s="1">
        <f t="shared" si="81"/>
        <v>219.29472000000001</v>
      </c>
      <c r="DN29" s="2" t="str">
        <f t="shared" si="18"/>
        <v/>
      </c>
      <c r="DO29" s="2" t="str">
        <f t="shared" si="19"/>
        <v/>
      </c>
      <c r="DP29" s="2">
        <f t="shared" si="20"/>
        <v>0</v>
      </c>
      <c r="DQ29" s="2">
        <f t="shared" si="21"/>
        <v>0</v>
      </c>
      <c r="DR29" s="2"/>
      <c r="DS29" s="2">
        <f t="shared" si="110"/>
        <v>21093.14699999999</v>
      </c>
      <c r="DT29" s="2">
        <f t="shared" si="111"/>
        <v>25169.488639999989</v>
      </c>
      <c r="DU29" s="2">
        <f t="shared" si="42"/>
        <v>27277.117823999932</v>
      </c>
      <c r="DV29" s="2"/>
      <c r="DW29" s="2"/>
      <c r="DX29" s="2"/>
      <c r="DY29" s="2"/>
      <c r="DZ29" s="2"/>
      <c r="EA29" s="2">
        <f t="shared" si="43"/>
        <v>23976.739999999936</v>
      </c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>
        <f t="shared" si="44"/>
        <v>134.24999999999994</v>
      </c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</row>
    <row r="30" spans="1:153" x14ac:dyDescent="0.25">
      <c r="A30" s="28">
        <v>41411</v>
      </c>
      <c r="B30" s="28">
        <v>41417</v>
      </c>
      <c r="C30" s="21" t="s">
        <v>25</v>
      </c>
      <c r="D30" s="2">
        <v>4</v>
      </c>
      <c r="E30" s="2" t="s">
        <v>26</v>
      </c>
      <c r="F30" s="21" t="s">
        <v>27</v>
      </c>
      <c r="G30" s="21" t="s">
        <v>28</v>
      </c>
      <c r="H30" s="21"/>
      <c r="I30" s="21"/>
      <c r="J30" s="21"/>
      <c r="K30">
        <f t="shared" si="31"/>
        <v>607.80000000000007</v>
      </c>
      <c r="L30" s="29">
        <v>5.1100000000000003</v>
      </c>
      <c r="M30" s="2">
        <f t="shared" si="55"/>
        <v>740.55999999999892</v>
      </c>
      <c r="N30" s="29">
        <v>2.0899999999999901</v>
      </c>
      <c r="O30" s="29">
        <v>127.8</v>
      </c>
      <c r="P30" s="2"/>
      <c r="Q30" s="2">
        <f t="shared" si="22"/>
        <v>24104.539999999935</v>
      </c>
      <c r="R30" s="30" t="str">
        <f t="shared" si="133"/>
        <v/>
      </c>
      <c r="S30" s="2"/>
      <c r="T30" s="2"/>
      <c r="U30" s="29">
        <v>20.999999999999901</v>
      </c>
      <c r="V30" s="29">
        <v>0.44</v>
      </c>
      <c r="W30" s="29">
        <v>2.5</v>
      </c>
      <c r="X30" s="29">
        <v>3.15</v>
      </c>
      <c r="Y30" s="29">
        <v>3.15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30"/>
      <c r="AK30" s="30"/>
      <c r="AL30" s="30"/>
      <c r="AM30" s="2">
        <v>0</v>
      </c>
      <c r="AN30" s="33"/>
      <c r="AO30" s="2"/>
      <c r="AP30" s="33"/>
      <c r="AQ30" s="33"/>
      <c r="AR30" s="33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1"/>
      <c r="BE30" s="2"/>
      <c r="BF30" s="2"/>
      <c r="BG30" s="34">
        <v>6</v>
      </c>
      <c r="BH30" s="2"/>
      <c r="BI30" s="2"/>
      <c r="BJ30" s="29"/>
      <c r="BK30" s="46">
        <f t="shared" si="56"/>
        <v>604.50009024638928</v>
      </c>
      <c r="BL30" s="29"/>
      <c r="BM30" s="29"/>
      <c r="BN30" s="42"/>
      <c r="BO30" s="1"/>
      <c r="BP30" s="42"/>
      <c r="BQ30" s="29"/>
      <c r="BR30" s="29"/>
      <c r="BS30" s="29"/>
      <c r="BT30" s="29"/>
      <c r="BU30" s="29"/>
      <c r="BV30" s="29"/>
      <c r="BW30" s="29"/>
      <c r="BX30" s="29"/>
      <c r="BY30" s="32"/>
      <c r="BZ30" s="43"/>
      <c r="CA30" s="29"/>
      <c r="CB30" s="29"/>
      <c r="CC30" s="44"/>
      <c r="CD30" s="29"/>
      <c r="CE30" s="29"/>
      <c r="CF30" s="29"/>
      <c r="CG30" s="29"/>
      <c r="CH30" s="32">
        <v>14.55857142857143</v>
      </c>
      <c r="CI30" s="32">
        <v>57.211428571428577</v>
      </c>
      <c r="CJ30" s="32">
        <v>0.88285714285714278</v>
      </c>
      <c r="CK30" s="32">
        <v>10.261428571428571</v>
      </c>
      <c r="CL30" s="32">
        <v>15.91</v>
      </c>
      <c r="CM30" s="32">
        <v>0</v>
      </c>
      <c r="CN30" s="32">
        <v>1.2657142857142856</v>
      </c>
      <c r="CO30" s="2"/>
      <c r="CP30" s="35"/>
      <c r="CQ30" s="35"/>
      <c r="CR30" s="2"/>
      <c r="CS30" s="2"/>
      <c r="CT30" s="2">
        <f t="shared" si="8"/>
        <v>5.1100000000000003</v>
      </c>
      <c r="CU30" s="2">
        <f t="shared" si="9"/>
        <v>0</v>
      </c>
      <c r="CV30" s="2">
        <f t="shared" si="10"/>
        <v>0</v>
      </c>
      <c r="CW30" s="2"/>
      <c r="CX30" s="2">
        <v>0</v>
      </c>
      <c r="CY30" s="2">
        <v>0</v>
      </c>
      <c r="CZ30" s="2"/>
      <c r="DA30" s="2"/>
      <c r="DB30" s="2"/>
      <c r="DC30" s="2"/>
      <c r="DD30" s="2"/>
      <c r="DE30" s="2"/>
      <c r="DF30" s="2"/>
      <c r="DG30" s="2"/>
      <c r="DH30" s="2"/>
      <c r="DI30" s="2">
        <f t="shared" si="14"/>
        <v>20.999999999999901</v>
      </c>
      <c r="DJ30" s="2">
        <f t="shared" si="80"/>
        <v>127.8</v>
      </c>
      <c r="DK30" s="2">
        <f t="shared" si="16"/>
        <v>108.63</v>
      </c>
      <c r="DL30" s="2">
        <f t="shared" si="17"/>
        <v>163.584</v>
      </c>
      <c r="DM30" s="1">
        <f t="shared" si="81"/>
        <v>147.22560000000001</v>
      </c>
      <c r="DN30" s="2" t="str">
        <f t="shared" si="18"/>
        <v/>
      </c>
      <c r="DO30" s="2" t="str">
        <f t="shared" si="19"/>
        <v/>
      </c>
      <c r="DP30" s="2">
        <f t="shared" si="20"/>
        <v>0</v>
      </c>
      <c r="DQ30" s="2">
        <f t="shared" si="21"/>
        <v>0</v>
      </c>
      <c r="DR30" s="2"/>
      <c r="DS30" s="2">
        <f t="shared" si="110"/>
        <v>21201.776999999991</v>
      </c>
      <c r="DT30" s="2">
        <f t="shared" si="111"/>
        <v>25316.71423999999</v>
      </c>
      <c r="DU30" s="2">
        <f t="shared" si="42"/>
        <v>27424.343423999933</v>
      </c>
      <c r="DV30" s="2"/>
      <c r="DW30" s="2"/>
      <c r="DX30" s="2"/>
      <c r="DY30" s="2"/>
      <c r="DZ30" s="2"/>
      <c r="EA30" s="2">
        <f t="shared" si="43"/>
        <v>24104.539999999935</v>
      </c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>
        <f t="shared" si="44"/>
        <v>136.33999999999995</v>
      </c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</row>
    <row r="31" spans="1:153" x14ac:dyDescent="0.25">
      <c r="A31" s="28">
        <v>41418</v>
      </c>
      <c r="B31" s="28">
        <v>41424</v>
      </c>
      <c r="C31" s="21" t="s">
        <v>25</v>
      </c>
      <c r="D31" s="2">
        <v>4</v>
      </c>
      <c r="E31" s="2" t="s">
        <v>26</v>
      </c>
      <c r="F31" s="21" t="s">
        <v>27</v>
      </c>
      <c r="G31" s="21" t="s">
        <v>28</v>
      </c>
      <c r="H31" s="21"/>
      <c r="I31" s="21"/>
      <c r="J31" s="21"/>
      <c r="K31">
        <f t="shared" si="31"/>
        <v>607.80000000000007</v>
      </c>
      <c r="L31" s="29">
        <v>5.65</v>
      </c>
      <c r="M31" s="37">
        <f t="shared" si="55"/>
        <v>746.2099999999989</v>
      </c>
      <c r="N31" s="29">
        <v>2.25</v>
      </c>
      <c r="O31" s="29">
        <v>122.47</v>
      </c>
      <c r="P31" s="2"/>
      <c r="Q31" s="2">
        <f t="shared" si="22"/>
        <v>24227.009999999937</v>
      </c>
      <c r="R31" s="30" t="str">
        <f t="shared" si="133"/>
        <v/>
      </c>
      <c r="S31" s="2"/>
      <c r="T31" s="2"/>
      <c r="U31" s="29">
        <v>20.999999999999901</v>
      </c>
      <c r="V31" s="29">
        <v>0.44</v>
      </c>
      <c r="W31" s="29">
        <v>2.1699999999999902</v>
      </c>
      <c r="X31" s="29">
        <v>3.73</v>
      </c>
      <c r="Y31" s="29">
        <v>3.73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30"/>
      <c r="AK31" s="30"/>
      <c r="AL31" s="2">
        <f>AF27/(AE27/1000)</f>
        <v>0.63179916317991636</v>
      </c>
      <c r="AM31" s="2">
        <v>0</v>
      </c>
      <c r="AN31" s="33"/>
      <c r="AO31" s="2"/>
      <c r="AP31" s="33"/>
      <c r="AQ31" s="33"/>
      <c r="AR31" s="33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1"/>
      <c r="BE31" s="2"/>
      <c r="BF31" s="2"/>
      <c r="BG31" s="34">
        <v>6</v>
      </c>
      <c r="BH31" s="2"/>
      <c r="BI31" s="2"/>
      <c r="BJ31" s="29"/>
      <c r="BK31" s="46">
        <f t="shared" si="56"/>
        <v>604.50009024638928</v>
      </c>
      <c r="BL31" s="29"/>
      <c r="BM31" s="29"/>
      <c r="BN31" s="42"/>
      <c r="BO31" s="1"/>
      <c r="BP31" s="42"/>
      <c r="BQ31" s="29"/>
      <c r="BR31" s="29"/>
      <c r="BS31" s="29"/>
      <c r="BT31" s="29"/>
      <c r="BU31" s="29"/>
      <c r="BV31" s="29"/>
      <c r="BW31" s="29"/>
      <c r="BX31" s="29"/>
      <c r="BY31" s="32"/>
      <c r="BZ31" s="43"/>
      <c r="CA31" s="29"/>
      <c r="CB31" s="29"/>
      <c r="CC31" s="44"/>
      <c r="CD31" s="29"/>
      <c r="CE31" s="29"/>
      <c r="CF31" s="29"/>
      <c r="CG31" s="29"/>
      <c r="CH31" s="32">
        <v>14.38</v>
      </c>
      <c r="CI31" s="32">
        <v>52.214285714285715</v>
      </c>
      <c r="CJ31" s="32">
        <v>1.077142857142857</v>
      </c>
      <c r="CK31" s="32">
        <v>7.8142857142857141</v>
      </c>
      <c r="CL31" s="32">
        <v>17.049999999999997</v>
      </c>
      <c r="CM31" s="32">
        <v>0</v>
      </c>
      <c r="CN31" s="32">
        <v>1.705714285714286</v>
      </c>
      <c r="CO31" s="2"/>
      <c r="CP31" s="35"/>
      <c r="CQ31" s="35"/>
      <c r="CR31" s="2"/>
      <c r="CS31" s="2"/>
      <c r="CT31" s="2">
        <f t="shared" si="8"/>
        <v>5.65</v>
      </c>
      <c r="CU31" s="2">
        <f t="shared" si="9"/>
        <v>0</v>
      </c>
      <c r="CV31" s="2">
        <f t="shared" si="10"/>
        <v>0</v>
      </c>
      <c r="CW31" s="2"/>
      <c r="CX31" s="2">
        <v>0</v>
      </c>
      <c r="CY31" s="2">
        <v>0</v>
      </c>
      <c r="CZ31" s="2"/>
      <c r="DA31" s="2"/>
      <c r="DB31" s="2"/>
      <c r="DC31" s="2"/>
      <c r="DD31" s="2"/>
      <c r="DE31" s="2"/>
      <c r="DF31" s="2"/>
      <c r="DG31" s="2"/>
      <c r="DH31" s="2"/>
      <c r="DI31" s="2">
        <f t="shared" si="14"/>
        <v>20.999999999999901</v>
      </c>
      <c r="DJ31" s="2">
        <f t="shared" si="80"/>
        <v>122.47</v>
      </c>
      <c r="DK31" s="2">
        <f t="shared" si="16"/>
        <v>104.09949999999999</v>
      </c>
      <c r="DL31" s="2">
        <f t="shared" si="17"/>
        <v>156.76160000000002</v>
      </c>
      <c r="DM31" s="1">
        <f t="shared" si="81"/>
        <v>141.08544000000001</v>
      </c>
      <c r="DN31" s="2" t="str">
        <f t="shared" si="18"/>
        <v/>
      </c>
      <c r="DO31" s="2" t="str">
        <f t="shared" si="19"/>
        <v/>
      </c>
      <c r="DP31" s="2">
        <f t="shared" si="20"/>
        <v>0</v>
      </c>
      <c r="DQ31" s="2">
        <f t="shared" si="21"/>
        <v>0</v>
      </c>
      <c r="DR31" s="2" t="s">
        <v>47</v>
      </c>
      <c r="DS31" s="2">
        <f t="shared" si="110"/>
        <v>21305.876499999991</v>
      </c>
      <c r="DT31" s="2">
        <f t="shared" si="111"/>
        <v>25457.799679999989</v>
      </c>
      <c r="DU31" s="2">
        <f t="shared" si="42"/>
        <v>27565.428863999932</v>
      </c>
      <c r="DV31" s="2">
        <f>BD27*1000</f>
        <v>14260</v>
      </c>
      <c r="DW31" s="2">
        <f>DV31/DT31</f>
        <v>0.56014267451412381</v>
      </c>
      <c r="DX31" s="2">
        <f>DV31/DU31</f>
        <v>0.51731464329304744</v>
      </c>
      <c r="DY31" s="2"/>
      <c r="DZ31" s="2"/>
      <c r="EA31" s="2">
        <f t="shared" si="43"/>
        <v>24227.009999999937</v>
      </c>
      <c r="EB31" s="2">
        <f>DV31/EA31</f>
        <v>0.58859925347783471</v>
      </c>
      <c r="EC31" s="2"/>
      <c r="ED31" s="2"/>
      <c r="EE31" s="2">
        <f>SUM(N9:N31)</f>
        <v>138.16999999999993</v>
      </c>
      <c r="EF31" s="2">
        <f>SUM(L9:L31)</f>
        <v>709.84999999999911</v>
      </c>
      <c r="EG31" s="2">
        <f>EE31/EF31</f>
        <v>0.19464675635697698</v>
      </c>
      <c r="EH31" s="2"/>
      <c r="EI31" s="2"/>
      <c r="EJ31" s="2"/>
      <c r="EK31" s="2"/>
      <c r="EL31" s="2">
        <f t="shared" si="44"/>
        <v>138.58999999999995</v>
      </c>
      <c r="EM31" s="46">
        <f>EL31/M31*100</f>
        <v>18.572519800056305</v>
      </c>
      <c r="EN31" s="2"/>
      <c r="EO31" s="2"/>
      <c r="EP31" s="2"/>
      <c r="EQ31" s="2"/>
      <c r="ER31" s="2"/>
      <c r="ES31" s="2"/>
      <c r="ET31" s="2"/>
      <c r="EU31" s="2"/>
      <c r="EV31" s="2"/>
      <c r="EW31" s="2"/>
    </row>
  </sheetData>
  <pageMargins left="0.75" right="0.75" top="1" bottom="1" header="0.5" footer="0.5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20" sqref="J20"/>
    </sheetView>
  </sheetViews>
  <sheetFormatPr defaultColWidth="11.42578125" defaultRowHeight="15" x14ac:dyDescent="0.25"/>
  <sheetData>
    <row r="1" spans="1:10" x14ac:dyDescent="0.25">
      <c r="A1">
        <v>201212</v>
      </c>
      <c r="B1">
        <v>244</v>
      </c>
      <c r="C1">
        <v>1</v>
      </c>
      <c r="D1" t="s">
        <v>163</v>
      </c>
      <c r="E1" t="s">
        <v>164</v>
      </c>
      <c r="F1" t="s">
        <v>165</v>
      </c>
      <c r="G1" t="s">
        <v>166</v>
      </c>
      <c r="H1" t="s">
        <v>167</v>
      </c>
      <c r="J1" t="s">
        <v>174</v>
      </c>
    </row>
    <row r="2" spans="1:10" x14ac:dyDescent="0.25">
      <c r="A2">
        <v>201301</v>
      </c>
      <c r="B2">
        <v>448</v>
      </c>
      <c r="C2">
        <v>1</v>
      </c>
    </row>
    <row r="3" spans="1:10" x14ac:dyDescent="0.25">
      <c r="A3">
        <v>201302</v>
      </c>
      <c r="B3">
        <v>384</v>
      </c>
      <c r="C3">
        <v>1</v>
      </c>
    </row>
    <row r="4" spans="1:10" ht="15.75" x14ac:dyDescent="0.25">
      <c r="A4" s="89">
        <v>1303</v>
      </c>
      <c r="B4">
        <v>200</v>
      </c>
      <c r="C4">
        <v>1</v>
      </c>
    </row>
    <row r="5" spans="1:10" ht="15.75" x14ac:dyDescent="0.25">
      <c r="A5" s="89">
        <v>201304</v>
      </c>
      <c r="B5">
        <v>121</v>
      </c>
      <c r="C5">
        <v>1</v>
      </c>
    </row>
    <row r="6" spans="1:10" ht="15.75" x14ac:dyDescent="0.25">
      <c r="A6" s="89">
        <v>201305</v>
      </c>
      <c r="B6">
        <v>132</v>
      </c>
    </row>
    <row r="7" spans="1:10" ht="15.75" x14ac:dyDescent="0.25">
      <c r="A7" s="89" t="s">
        <v>175</v>
      </c>
      <c r="B7">
        <f>SUM(B1:B6)</f>
        <v>1529</v>
      </c>
      <c r="J7" t="b">
        <f>J19=B7/B17/24/60/60*1000000*1000</f>
        <v>0</v>
      </c>
    </row>
    <row r="8" spans="1:10" ht="15.75" x14ac:dyDescent="0.25">
      <c r="A8" s="89" t="s">
        <v>27</v>
      </c>
      <c r="B8">
        <v>70</v>
      </c>
      <c r="J8">
        <f>B8/B17/24/60/60*1000000*1000</f>
        <v>5001.1431184270677</v>
      </c>
    </row>
    <row r="9" spans="1:10" ht="15.75" x14ac:dyDescent="0.25">
      <c r="A9" s="90"/>
    </row>
    <row r="11" spans="1:10" x14ac:dyDescent="0.25">
      <c r="A11" t="s">
        <v>168</v>
      </c>
      <c r="B11">
        <v>31</v>
      </c>
    </row>
    <row r="12" spans="1:10" x14ac:dyDescent="0.25">
      <c r="A12" t="s">
        <v>169</v>
      </c>
      <c r="B12">
        <v>31</v>
      </c>
    </row>
    <row r="13" spans="1:10" x14ac:dyDescent="0.25">
      <c r="A13" t="s">
        <v>170</v>
      </c>
      <c r="B13">
        <v>8</v>
      </c>
      <c r="J13">
        <v>1529</v>
      </c>
    </row>
    <row r="14" spans="1:10" x14ac:dyDescent="0.25">
      <c r="A14" t="s">
        <v>171</v>
      </c>
      <c r="B14">
        <v>31</v>
      </c>
      <c r="J14">
        <v>70</v>
      </c>
    </row>
    <row r="15" spans="1:10" x14ac:dyDescent="0.25">
      <c r="A15" t="s">
        <v>172</v>
      </c>
      <c r="B15">
        <v>30</v>
      </c>
      <c r="J15">
        <f>SUM(J13:J14)</f>
        <v>1599</v>
      </c>
    </row>
    <row r="16" spans="1:10" x14ac:dyDescent="0.25">
      <c r="A16" t="s">
        <v>173</v>
      </c>
      <c r="B16">
        <v>31</v>
      </c>
      <c r="J16">
        <f>J14/J15*100</f>
        <v>4.3777360850531588</v>
      </c>
    </row>
    <row r="17" spans="2:10" x14ac:dyDescent="0.25">
      <c r="B17">
        <f>SUM(B11:B16)</f>
        <v>162</v>
      </c>
    </row>
    <row r="19" spans="2:10" x14ac:dyDescent="0.25">
      <c r="J19">
        <v>127028250</v>
      </c>
    </row>
    <row r="20" spans="2:10" x14ac:dyDescent="0.25">
      <c r="J20">
        <f>J19*1000/B17/24/60/60</f>
        <v>9075.5208333333339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15" sqref="C15"/>
    </sheetView>
  </sheetViews>
  <sheetFormatPr defaultColWidth="11.42578125" defaultRowHeight="15" x14ac:dyDescent="0.25"/>
  <cols>
    <col min="3" max="3" width="12.140625" bestFit="1" customWidth="1"/>
  </cols>
  <sheetData>
    <row r="2" spans="1:3" x14ac:dyDescent="0.25">
      <c r="A2" t="s">
        <v>176</v>
      </c>
      <c r="B2" t="s">
        <v>177</v>
      </c>
    </row>
    <row r="3" spans="1:3" x14ac:dyDescent="0.25">
      <c r="A3">
        <v>10.8</v>
      </c>
      <c r="B3">
        <f>1/A3*10000</f>
        <v>925.92592592592587</v>
      </c>
    </row>
    <row r="4" spans="1:3" x14ac:dyDescent="0.25">
      <c r="A4">
        <v>12.2</v>
      </c>
      <c r="B4">
        <f t="shared" ref="B4:B7" si="0">1/A4*10000</f>
        <v>819.67213114754111</v>
      </c>
    </row>
    <row r="5" spans="1:3" x14ac:dyDescent="0.25">
      <c r="A5">
        <v>12.6</v>
      </c>
      <c r="B5">
        <f t="shared" si="0"/>
        <v>793.65079365079362</v>
      </c>
    </row>
    <row r="6" spans="1:3" x14ac:dyDescent="0.25">
      <c r="A6">
        <v>15.8</v>
      </c>
      <c r="B6">
        <f t="shared" si="0"/>
        <v>632.91139240506322</v>
      </c>
    </row>
    <row r="7" spans="1:3" x14ac:dyDescent="0.25">
      <c r="A7">
        <v>21.82</v>
      </c>
      <c r="B7">
        <f t="shared" si="0"/>
        <v>458.29514207149401</v>
      </c>
      <c r="C7">
        <f>A7*1/100081/10000</f>
        <v>2.1802340104515344E-8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ET graphs</vt:lpstr>
      <vt:lpstr>Orange river flow calc</vt:lpstr>
      <vt:lpstr>WUE to WF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 der Laan</dc:creator>
  <cp:lastModifiedBy>Michael vd Laan</cp:lastModifiedBy>
  <dcterms:created xsi:type="dcterms:W3CDTF">2015-09-04T13:22:19Z</dcterms:created>
  <dcterms:modified xsi:type="dcterms:W3CDTF">2018-03-16T14:33:10Z</dcterms:modified>
</cp:coreProperties>
</file>